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Y2023-2024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<sst xmlns="http://schemas.openxmlformats.org/spreadsheetml/2006/main" count="192" uniqueCount="63">
  <si>
    <t xml:space="preserve">VIHA</t>
  </si>
  <si>
    <t xml:space="preserve">FH</t>
  </si>
  <si>
    <t xml:space="preserve">IH</t>
  </si>
  <si>
    <t xml:space="preserve">NH</t>
  </si>
  <si>
    <t xml:space="preserve">VCH</t>
  </si>
  <si>
    <t xml:space="preserve">Province</t>
  </si>
  <si>
    <t xml:space="preserve">Downtown</t>
  </si>
  <si>
    <t xml:space="preserve">Esquimalt</t>
  </si>
  <si>
    <t xml:space="preserve">Gorge</t>
  </si>
  <si>
    <t xml:space="preserve">James Bay</t>
  </si>
  <si>
    <t xml:space="preserve">Nanaimo*</t>
  </si>
  <si>
    <t xml:space="preserve">North Quadra</t>
  </si>
  <si>
    <t xml:space="preserve">Westshore</t>
  </si>
  <si>
    <t xml:space="preserve">Comox Valley</t>
  </si>
  <si>
    <t xml:space="preserve">Abbotsford</t>
  </si>
  <si>
    <t xml:space="preserve">Chilliwack</t>
  </si>
  <si>
    <t xml:space="preserve">Edmonds</t>
  </si>
  <si>
    <t xml:space="preserve">Langley</t>
  </si>
  <si>
    <t xml:space="preserve">Metrotown</t>
  </si>
  <si>
    <t xml:space="preserve">North Surrey</t>
  </si>
  <si>
    <t xml:space="preserve">Port Moody</t>
  </si>
  <si>
    <t xml:space="preserve">Ridge Meadows</t>
  </si>
  <si>
    <t xml:space="preserve">Surrey Newton</t>
  </si>
  <si>
    <t xml:space="preserve">Ashcroft</t>
  </si>
  <si>
    <t xml:space="preserve">Castlegar*</t>
  </si>
  <si>
    <t xml:space="preserve">Rutland</t>
  </si>
  <si>
    <t xml:space="preserve">Kamloops</t>
  </si>
  <si>
    <t xml:space="preserve">Kelowna</t>
  </si>
  <si>
    <t xml:space="preserve">Vernon</t>
  </si>
  <si>
    <t xml:space="preserve">West Kelowna</t>
  </si>
  <si>
    <t xml:space="preserve">Penticton</t>
  </si>
  <si>
    <t xml:space="preserve">Cranbrook</t>
  </si>
  <si>
    <t xml:space="preserve">Prince George*</t>
  </si>
  <si>
    <t xml:space="preserve">Quesnel</t>
  </si>
  <si>
    <t xml:space="preserve">North Shore</t>
  </si>
  <si>
    <t xml:space="preserve">REACH</t>
  </si>
  <si>
    <t xml:space="preserve">Vancouver CC</t>
  </si>
  <si>
    <t xml:space="preserve">Northeast</t>
  </si>
  <si>
    <t xml:space="preserve">Richmond</t>
  </si>
  <si>
    <t xml:space="preserve">Southeast</t>
  </si>
  <si>
    <t xml:space="preserve">Total</t>
  </si>
  <si>
    <t xml:space="preserve">Opening Date</t>
  </si>
  <si>
    <t xml:space="preserve">2024 ORIGINAL DATA</t>
  </si>
  <si>
    <t xml:space="preserve">Family Physician </t>
  </si>
  <si>
    <t xml:space="preserve">Budgeted</t>
  </si>
  <si>
    <t xml:space="preserve">s</t>
  </si>
  <si>
    <t xml:space="preserve">Actual</t>
  </si>
  <si>
    <t xml:space="preserve">Nurse Practitioner</t>
  </si>
  <si>
    <t xml:space="preserve">Nursing</t>
  </si>
  <si>
    <t xml:space="preserve">MHSU</t>
  </si>
  <si>
    <t xml:space="preserve">Other Clinical</t>
  </si>
  <si>
    <t xml:space="preserve">Admin/Misc/Uncategorized</t>
  </si>
  <si>
    <t xml:space="preserve">Overhead</t>
  </si>
  <si>
    <t xml:space="preserve">Patient Visits</t>
  </si>
  <si>
    <t xml:space="preserve"> </t>
  </si>
  <si>
    <t xml:space="preserve">2024 ANALYSIS</t>
  </si>
  <si>
    <t xml:space="preserve">%Budgeted</t>
  </si>
  <si>
    <t xml:space="preserve">%Total</t>
  </si>
  <si>
    <t xml:space="preserve">Cost per Visit</t>
  </si>
  <si>
    <t xml:space="preserve">Overhead per Visit</t>
  </si>
  <si>
    <t xml:space="preserve">COMPARISON WITH PREVIOUS YEAR</t>
  </si>
  <si>
    <t xml:space="preserve">2023 Actual</t>
  </si>
  <si>
    <t xml:space="preserve">2024vs.2023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</si>
</sst>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yyyy/mm/dd"/>
    <numFmt numFmtId="166" formatCode="#,##0"/>
    <numFmt numFmtId="167" formatCode="0.00%"/>
    <numFmt numFmtId="168" formatCode="0.00"/>
    <numFmt numFmtId="169" formatCode="@"/>
    <numFmt numFmtId="170" formatCode="#,##0_);\(#,##0\)"/>
  </numFmts>
  <fonts count="4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b val="true"/>
      <sz val="11"/>
      <color rgb="FFFFFFFF"/>
      <name val="Avenir Next Condensed"/>
      <family val="0"/>
    </font>
    <font>
      <sz val="10"/>
      <name val="Liberation Sans Narrow"/>
      <family val="2"/>
    </font>
    <font>
      <b val="true"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b val="true"/>
      <sz val="10.5"/>
      <name val="Avenir Next Condensed"/>
      <family val="0"/>
    </font>
    <font>
      <b val="true"/>
      <sz val="10"/>
      <name val="Avenir Next"/>
      <family val="0"/>
    </font>
    <font>
      <sz val="10"/>
      <color rgb="FFFF0000"/>
      <name val="Arial"/>
      <family val="0"/>
    </font>
    <font>
      <sz val="10"/>
      <color rgb="FFFFFF00"/>
      <name val="Arial"/>
      <family val="0"/>
    </font>
    <font>
      <sz val="10"/>
      <color rgb="FF0000FF"/>
      <name val="Arial"/>
      <family val="0"/>
    </font>
    <font>
      <sz val="10"/>
      <color rgb="FF00FF00"/>
      <name val="Arial"/>
      <family val="0"/>
    </font>
    <font>
      <sz val="10"/>
      <color rgb="FFFF00FF"/>
      <name val="Arial"/>
      <family val="0"/>
    </font>
    <font>
      <sz val="10"/>
      <color rgb="FF00FFFF"/>
      <name val="Arial"/>
      <family val="0"/>
    </font>
    <font>
      <sz val="10"/>
      <color rgb="FF000000"/>
      <name val="Arial"/>
      <family val="0"/>
    </font>
    <font>
      <b val="true"/>
      <sz val="10"/>
      <name val="Liberation Sans Narrow"/>
      <family val="2"/>
    </font>
    <font>
      <b val="true"/>
      <sz val="9"/>
      <name val="Avenir"/>
      <family val="0"/>
    </font>
    <font>
      <sz val="9"/>
      <color rgb="FFD92626"/>
      <name val="Arial"/>
      <family val="0"/>
    </font>
    <font>
      <i val="true"/>
      <sz val="9"/>
      <name val="Avenir Next Condensed"/>
      <family val="0"/>
    </font>
    <font>
      <i val="true"/>
      <sz val="8"/>
      <color rgb="FF666666"/>
      <name val="Avenir Next Condensed"/>
      <family val="0"/>
    </font>
    <font>
      <sz val="8"/>
      <color rgb="FFEC9393"/>
      <name val="Arial"/>
      <family val="2"/>
    </font>
    <font>
      <i val="true"/>
      <sz val="8"/>
      <name val="Avenir Next Condensed"/>
      <family val="0"/>
    </font>
    <font>
      <sz val="9"/>
      <color rgb="FFE61AAA"/>
      <name val="Arial"/>
      <family val="0"/>
    </font>
    <font>
      <sz val="8"/>
      <color rgb="FFF38DD5"/>
      <name val="Arial"/>
      <family val="2"/>
    </font>
    <font>
      <sz val="9"/>
      <color rgb="FF0433FF"/>
      <name val="Arial"/>
      <family val="0"/>
    </font>
    <font>
      <sz val="8"/>
      <color rgb="FF8299FF"/>
      <name val="Arial"/>
      <family val="2"/>
    </font>
    <font>
      <sz val="9"/>
      <color rgb="FF0DF228"/>
      <name val="Arial"/>
      <family val="0"/>
    </font>
    <font>
      <sz val="8"/>
      <color rgb="FF86F994"/>
      <name val="Arial"/>
      <family val="2"/>
    </font>
    <font>
      <sz val="9"/>
      <color rgb="FF996678"/>
      <name val="Arial"/>
      <family val="0"/>
    </font>
    <font>
      <sz val="8"/>
      <color rgb="FFCCB3BC"/>
      <name val="Arial"/>
      <family val="2"/>
    </font>
    <font>
      <sz val="9"/>
      <color rgb="FF009CFF"/>
      <name val="Arial"/>
      <family val="0"/>
    </font>
    <font>
      <sz val="8"/>
      <color rgb="FF80CEFF"/>
      <name val="Arial"/>
      <family val="2"/>
    </font>
    <font>
      <sz val="9"/>
      <color rgb="FF000000"/>
      <name val="Arial"/>
      <family val="0"/>
    </font>
    <font>
      <sz val="8"/>
      <color rgb="FF808080"/>
      <name val="Arial"/>
      <family val="2"/>
    </font>
    <font>
      <b val="true"/>
      <i val="true"/>
      <sz val="9"/>
      <name val="Avenir"/>
      <family val="0"/>
    </font>
    <font>
      <b val="true"/>
      <sz val="18"/>
      <color rgb="FF34816F"/>
      <name val="Avenir Next"/>
      <family val="2"/>
    </font>
    <font>
      <sz val="9"/>
      <name val="Liberation Sans Narrow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45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tru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7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3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2" xfId="20"/>
    <cellStyle name="blank" xfId="21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name val="Avenir Next Condensed"/>
        <family val="0"/>
        <b val="1"/>
        <color rgb="FFFFFFFF"/>
        <sz val="11"/>
      </font>
      <numFmt numFmtId="164" formatCode="General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B3BC"/>
      <rgbColor rgb="FF808080"/>
      <rgbColor rgb="FF8299FF"/>
      <rgbColor rgb="FF996678"/>
      <rgbColor rgb="FFFFFFCC"/>
      <rgbColor rgb="FFCCFFFF"/>
      <rgbColor rgb="FF660066"/>
      <rgbColor rgb="FFEC9393"/>
      <rgbColor rgb="FF0066CC"/>
      <rgbColor rgb="FFCCCCFF"/>
      <rgbColor rgb="FF000080"/>
      <rgbColor rgb="FFE61AAA"/>
      <rgbColor rgb="FFFFFF00"/>
      <rgbColor rgb="FF00FFFF"/>
      <rgbColor rgb="FF800080"/>
      <rgbColor rgb="FF800000"/>
      <rgbColor rgb="FF008080"/>
      <rgbColor rgb="FF0433FF"/>
      <rgbColor rgb="FF009CFF"/>
      <rgbColor rgb="FFCCFFFF"/>
      <rgbColor rgb="FF86F994"/>
      <rgbColor rgb="FFFFFF99"/>
      <rgbColor rgb="FF80CEFF"/>
      <rgbColor rgb="FFF38DD5"/>
      <rgbColor rgb="FFCC99FF"/>
      <rgbColor rgb="FFFFCC99"/>
      <rgbColor rgb="FF3366FF"/>
      <rgbColor rgb="FF0DF228"/>
      <rgbColor rgb="FF99CC00"/>
      <rgbColor rgb="FFFFCC00"/>
      <rgbColor rgb="FFFF9900"/>
      <rgbColor rgb="FFFF6600"/>
      <rgbColor rgb="FF666666"/>
      <rgbColor rgb="FFB3B3B3"/>
      <rgbColor rgb="FF003366"/>
      <rgbColor rgb="FF34816F"/>
      <rgbColor rgb="FF003300"/>
      <rgbColor rgb="FF333300"/>
      <rgbColor rgb="FFD92626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34816f"/>
                </a:solidFill>
                <a:uFillTx/>
                <a:latin typeface="Avenir Next"/>
              </a:rPr>
              <a:t>% change # visits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uFillTx/>
                <a:latin typeface="Avenir Next"/>
              </a:rPr>
              <a:t>FY2022-2023 to FY2023-2024</a:t>
            </a:r>
          </a:p>
        </c:rich>
      </c:tx>
      <c:layout>
        <c:manualLayout>
          <c:xMode val="edge"/>
          <c:yMode val="edge"/>
          <c:x val="0.370988512852212"/>
          <c:y val="0.021989528795811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939576572399938"/>
          <c:y val="0.0103664921465969"/>
          <c:w val="0.8802348941431"/>
          <c:h val="0.75863874345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'FY2023-2024'!$A$153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'FY2023-2024'!$C$5:$AI$5</c:f>
              <c:strCache>
                <c:ptCount val="33"/>
                <c:pt idx="0">
                  <c:v>Downtown</c:v>
                </c:pt>
                <c:pt idx="1">
                  <c:v>Esquimalt</c:v>
                </c:pt>
                <c:pt idx="2">
                  <c:v>Gorge</c:v>
                </c:pt>
                <c:pt idx="3">
                  <c:v>James Bay</c:v>
                </c:pt>
                <c:pt idx="4">
                  <c:v>Nanaimo*</c:v>
                </c:pt>
                <c:pt idx="5">
                  <c:v>North Quadra</c:v>
                </c:pt>
                <c:pt idx="6">
                  <c:v>Westshore</c:v>
                </c:pt>
                <c:pt idx="7">
                  <c:v>Comox Valley</c:v>
                </c:pt>
                <c:pt idx="8">
                  <c:v>Abbotsford</c:v>
                </c:pt>
                <c:pt idx="9">
                  <c:v>Chilliwack</c:v>
                </c:pt>
                <c:pt idx="10">
                  <c:v>Edmonds</c:v>
                </c:pt>
                <c:pt idx="11">
                  <c:v>Langley</c:v>
                </c:pt>
                <c:pt idx="12">
                  <c:v>Metrotown</c:v>
                </c:pt>
                <c:pt idx="13">
                  <c:v>North Surrey</c:v>
                </c:pt>
                <c:pt idx="14">
                  <c:v>Port Moody</c:v>
                </c:pt>
                <c:pt idx="15">
                  <c:v>Ridge Meadows</c:v>
                </c:pt>
                <c:pt idx="16">
                  <c:v>Surrey Newton</c:v>
                </c:pt>
                <c:pt idx="17">
                  <c:v>Ashcroft</c:v>
                </c:pt>
                <c:pt idx="18">
                  <c:v>Castlegar*</c:v>
                </c:pt>
                <c:pt idx="19">
                  <c:v>Rutland</c:v>
                </c:pt>
                <c:pt idx="20">
                  <c:v>Kamloops</c:v>
                </c:pt>
                <c:pt idx="21">
                  <c:v>Kelowna</c:v>
                </c:pt>
                <c:pt idx="22">
                  <c:v>Vernon</c:v>
                </c:pt>
                <c:pt idx="23">
                  <c:v>West Kelowna</c:v>
                </c:pt>
                <c:pt idx="24">
                  <c:v>Penticton</c:v>
                </c:pt>
                <c:pt idx="25">
                  <c:v>Cranbrook</c:v>
                </c:pt>
                <c:pt idx="26">
                  <c:v>Prince George*</c:v>
                </c:pt>
                <c:pt idx="27">
                  <c:v>Quesnel</c:v>
                </c:pt>
                <c:pt idx="28">
                  <c:v>North Shore</c:v>
                </c:pt>
                <c:pt idx="29">
                  <c:v>REACH</c:v>
                </c:pt>
                <c:pt idx="30">
                  <c:v>Vancouver CC</c:v>
                </c:pt>
                <c:pt idx="31">
                  <c:v>Northeast</c:v>
                </c:pt>
                <c:pt idx="32">
                  <c:v>Richmond</c:v>
                </c:pt>
              </c:strCache>
            </c:strRef>
          </c:cat>
          <c:val>
            <c:numRef>
              <c:f>'FY2023-2024'!$C$153:$AJ$153</c:f>
              <c:numCache>
                <c:formatCode>General</c:formatCode>
                <c:ptCount val="34"/>
              </c:numCache>
            </c:numRef>
          </c:val>
        </c:ser>
        <c:gapWidth val="20"/>
        <c:overlap val="100"/>
        <c:axId val="92326894"/>
        <c:axId val="17143635"/>
      </c:barChart>
      <c:catAx>
        <c:axId val="9232689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900" strike="noStrike" u="none">
                <a:uFillTx/>
                <a:latin typeface="Liberation Sans Narrow"/>
              </a:defRPr>
            </a:pPr>
          </a:p>
        </c:txPr>
        <c:crossAx val="17143635"/>
        <c:crosses val="autoZero"/>
        <c:auto val="1"/>
        <c:lblAlgn val="ctr"/>
        <c:lblOffset val="100"/>
        <c:noMultiLvlLbl val="0"/>
      </c:catAx>
      <c:valAx>
        <c:axId val="17143635"/>
        <c:scaling>
          <c:orientation val="minMax"/>
          <c:max val="3"/>
          <c:min val="-1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92326894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34816f"/>
                </a:solidFill>
                <a:uFillTx/>
                <a:latin typeface="Avenir Next"/>
              </a:rPr>
              <a:t>% change overhead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uFillTx/>
                <a:latin typeface="Avenir Next"/>
              </a:rPr>
              <a:t>FY2022-2023 to FY2023-2024</a:t>
            </a:r>
          </a:p>
        </c:rich>
      </c:tx>
      <c:layout>
        <c:manualLayout>
          <c:xMode val="edge"/>
          <c:yMode val="edge"/>
          <c:x val="0.370885489105239"/>
          <c:y val="0.021989528795811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939576572399938"/>
          <c:y val="0.0103664921465969"/>
          <c:w val="0.8802348941431"/>
          <c:h val="0.75863874345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'FY2023-2024'!$A$154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'FY2023-2024'!$C$5:$AI$5</c:f>
              <c:strCache>
                <c:ptCount val="33"/>
                <c:pt idx="0">
                  <c:v>Downtown</c:v>
                </c:pt>
                <c:pt idx="1">
                  <c:v>Esquimalt</c:v>
                </c:pt>
                <c:pt idx="2">
                  <c:v>Gorge</c:v>
                </c:pt>
                <c:pt idx="3">
                  <c:v>James Bay</c:v>
                </c:pt>
                <c:pt idx="4">
                  <c:v>Nanaimo*</c:v>
                </c:pt>
                <c:pt idx="5">
                  <c:v>North Quadra</c:v>
                </c:pt>
                <c:pt idx="6">
                  <c:v>Westshore</c:v>
                </c:pt>
                <c:pt idx="7">
                  <c:v>Comox Valley</c:v>
                </c:pt>
                <c:pt idx="8">
                  <c:v>Abbotsford</c:v>
                </c:pt>
                <c:pt idx="9">
                  <c:v>Chilliwack</c:v>
                </c:pt>
                <c:pt idx="10">
                  <c:v>Edmonds</c:v>
                </c:pt>
                <c:pt idx="11">
                  <c:v>Langley</c:v>
                </c:pt>
                <c:pt idx="12">
                  <c:v>Metrotown</c:v>
                </c:pt>
                <c:pt idx="13">
                  <c:v>North Surrey</c:v>
                </c:pt>
                <c:pt idx="14">
                  <c:v>Port Moody</c:v>
                </c:pt>
                <c:pt idx="15">
                  <c:v>Ridge Meadows</c:v>
                </c:pt>
                <c:pt idx="16">
                  <c:v>Surrey Newton</c:v>
                </c:pt>
                <c:pt idx="17">
                  <c:v>Ashcroft</c:v>
                </c:pt>
                <c:pt idx="18">
                  <c:v>Castlegar*</c:v>
                </c:pt>
                <c:pt idx="19">
                  <c:v>Rutland</c:v>
                </c:pt>
                <c:pt idx="20">
                  <c:v>Kamloops</c:v>
                </c:pt>
                <c:pt idx="21">
                  <c:v>Kelowna</c:v>
                </c:pt>
                <c:pt idx="22">
                  <c:v>Vernon</c:v>
                </c:pt>
                <c:pt idx="23">
                  <c:v>West Kelowna</c:v>
                </c:pt>
                <c:pt idx="24">
                  <c:v>Penticton</c:v>
                </c:pt>
                <c:pt idx="25">
                  <c:v>Cranbrook</c:v>
                </c:pt>
                <c:pt idx="26">
                  <c:v>Prince George*</c:v>
                </c:pt>
                <c:pt idx="27">
                  <c:v>Quesnel</c:v>
                </c:pt>
                <c:pt idx="28">
                  <c:v>North Shore</c:v>
                </c:pt>
                <c:pt idx="29">
                  <c:v>REACH</c:v>
                </c:pt>
                <c:pt idx="30">
                  <c:v>Vancouver CC</c:v>
                </c:pt>
                <c:pt idx="31">
                  <c:v>Northeast</c:v>
                </c:pt>
                <c:pt idx="32">
                  <c:v>Richmond</c:v>
                </c:pt>
              </c:strCache>
            </c:strRef>
          </c:cat>
          <c:val>
            <c:numRef>
              <c:f>'FY2023-2024'!$C$154:$AJ$154</c:f>
              <c:numCache>
                <c:formatCode>General</c:formatCode>
                <c:ptCount val="34"/>
              </c:numCache>
            </c:numRef>
          </c:val>
        </c:ser>
        <c:gapWidth val="20"/>
        <c:overlap val="100"/>
        <c:axId val="47382413"/>
        <c:axId val="78645901"/>
      </c:barChart>
      <c:catAx>
        <c:axId val="4738241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900" strike="noStrike" u="none">
                <a:uFillTx/>
                <a:latin typeface="Liberation Sans Narrow"/>
              </a:defRPr>
            </a:pPr>
          </a:p>
        </c:txPr>
        <c:crossAx val="78645901"/>
        <c:crosses val="autoZero"/>
        <c:auto val="1"/>
        <c:lblAlgn val="ctr"/>
        <c:lblOffset val="100"/>
        <c:noMultiLvlLbl val="0"/>
      </c:catAx>
      <c:valAx>
        <c:axId val="78645901"/>
        <c:scaling>
          <c:orientation val="minMax"/>
          <c:max val="3"/>
          <c:min val="-1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47382413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34816f"/>
                </a:solidFill>
                <a:uFillTx/>
                <a:latin typeface="Avenir Next"/>
              </a:rPr>
              <a:t>% change FP+NP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uFillTx/>
                <a:latin typeface="Avenir Next"/>
              </a:rPr>
              <a:t>FY2022-2023 to FY2023-2024</a:t>
            </a:r>
          </a:p>
        </c:rich>
      </c:tx>
      <c:layout>
        <c:manualLayout>
          <c:xMode val="edge"/>
          <c:yMode val="edge"/>
          <c:x val="0.370988512852212"/>
          <c:y val="0.021989528795811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939576572399938"/>
          <c:y val="0.0103664921465969"/>
          <c:w val="0.8802348941431"/>
          <c:h val="0.75863874345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'FY2023-2024'!$A$155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'FY2023-2024'!$C$5:$AI$5</c:f>
              <c:strCache>
                <c:ptCount val="33"/>
                <c:pt idx="0">
                  <c:v>Downtown</c:v>
                </c:pt>
                <c:pt idx="1">
                  <c:v>Esquimalt</c:v>
                </c:pt>
                <c:pt idx="2">
                  <c:v>Gorge</c:v>
                </c:pt>
                <c:pt idx="3">
                  <c:v>James Bay</c:v>
                </c:pt>
                <c:pt idx="4">
                  <c:v>Nanaimo*</c:v>
                </c:pt>
                <c:pt idx="5">
                  <c:v>North Quadra</c:v>
                </c:pt>
                <c:pt idx="6">
                  <c:v>Westshore</c:v>
                </c:pt>
                <c:pt idx="7">
                  <c:v>Comox Valley</c:v>
                </c:pt>
                <c:pt idx="8">
                  <c:v>Abbotsford</c:v>
                </c:pt>
                <c:pt idx="9">
                  <c:v>Chilliwack</c:v>
                </c:pt>
                <c:pt idx="10">
                  <c:v>Edmonds</c:v>
                </c:pt>
                <c:pt idx="11">
                  <c:v>Langley</c:v>
                </c:pt>
                <c:pt idx="12">
                  <c:v>Metrotown</c:v>
                </c:pt>
                <c:pt idx="13">
                  <c:v>North Surrey</c:v>
                </c:pt>
                <c:pt idx="14">
                  <c:v>Port Moody</c:v>
                </c:pt>
                <c:pt idx="15">
                  <c:v>Ridge Meadows</c:v>
                </c:pt>
                <c:pt idx="16">
                  <c:v>Surrey Newton</c:v>
                </c:pt>
                <c:pt idx="17">
                  <c:v>Ashcroft</c:v>
                </c:pt>
                <c:pt idx="18">
                  <c:v>Castlegar*</c:v>
                </c:pt>
                <c:pt idx="19">
                  <c:v>Rutland</c:v>
                </c:pt>
                <c:pt idx="20">
                  <c:v>Kamloops</c:v>
                </c:pt>
                <c:pt idx="21">
                  <c:v>Kelowna</c:v>
                </c:pt>
                <c:pt idx="22">
                  <c:v>Vernon</c:v>
                </c:pt>
                <c:pt idx="23">
                  <c:v>West Kelowna</c:v>
                </c:pt>
                <c:pt idx="24">
                  <c:v>Penticton</c:v>
                </c:pt>
                <c:pt idx="25">
                  <c:v>Cranbrook</c:v>
                </c:pt>
                <c:pt idx="26">
                  <c:v>Prince George*</c:v>
                </c:pt>
                <c:pt idx="27">
                  <c:v>Quesnel</c:v>
                </c:pt>
                <c:pt idx="28">
                  <c:v>North Shore</c:v>
                </c:pt>
                <c:pt idx="29">
                  <c:v>REACH</c:v>
                </c:pt>
                <c:pt idx="30">
                  <c:v>Vancouver CC</c:v>
                </c:pt>
                <c:pt idx="31">
                  <c:v>Northeast</c:v>
                </c:pt>
                <c:pt idx="32">
                  <c:v>Richmond</c:v>
                </c:pt>
              </c:strCache>
            </c:strRef>
          </c:cat>
          <c:val>
            <c:numRef>
              <c:f>'FY2023-2024'!$C$155:$AJ$155</c:f>
              <c:numCache>
                <c:formatCode>General</c:formatCode>
                <c:ptCount val="34"/>
              </c:numCache>
            </c:numRef>
          </c:val>
        </c:ser>
        <c:gapWidth val="20"/>
        <c:overlap val="100"/>
        <c:axId val="74280544"/>
        <c:axId val="44858657"/>
      </c:barChart>
      <c:catAx>
        <c:axId val="74280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900" strike="noStrike" u="none">
                <a:uFillTx/>
                <a:latin typeface="Liberation Sans Narrow"/>
              </a:defRPr>
            </a:pPr>
          </a:p>
        </c:txPr>
        <c:crossAx val="44858657"/>
        <c:crosses val="autoZero"/>
        <c:auto val="1"/>
        <c:lblAlgn val="ctr"/>
        <c:lblOffset val="100"/>
        <c:noMultiLvlLbl val="0"/>
      </c:catAx>
      <c:valAx>
        <c:axId val="44858657"/>
        <c:scaling>
          <c:orientation val="minMax"/>
          <c:max val="3"/>
          <c:min val="-1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74280544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34816f"/>
                </a:solidFill>
                <a:uFillTx/>
                <a:latin typeface="Avenir Next"/>
              </a:rPr>
              <a:t>% change nursing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uFillTx/>
                <a:latin typeface="Avenir Next"/>
              </a:rPr>
              <a:t>FY2022-2023 to FY2023-2024</a:t>
            </a:r>
          </a:p>
        </c:rich>
      </c:tx>
      <c:layout>
        <c:manualLayout>
          <c:xMode val="edge"/>
          <c:yMode val="edge"/>
          <c:x val="0.370988512852212"/>
          <c:y val="0.021989528795811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939576572399938"/>
          <c:y val="0.0103664921465969"/>
          <c:w val="0.8802348941431"/>
          <c:h val="0.75863874345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'FY2023-2024'!$A$156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'FY2023-2024'!$C$5:$AI$5</c:f>
              <c:strCache>
                <c:ptCount val="33"/>
                <c:pt idx="0">
                  <c:v>Downtown</c:v>
                </c:pt>
                <c:pt idx="1">
                  <c:v>Esquimalt</c:v>
                </c:pt>
                <c:pt idx="2">
                  <c:v>Gorge</c:v>
                </c:pt>
                <c:pt idx="3">
                  <c:v>James Bay</c:v>
                </c:pt>
                <c:pt idx="4">
                  <c:v>Nanaimo*</c:v>
                </c:pt>
                <c:pt idx="5">
                  <c:v>North Quadra</c:v>
                </c:pt>
                <c:pt idx="6">
                  <c:v>Westshore</c:v>
                </c:pt>
                <c:pt idx="7">
                  <c:v>Comox Valley</c:v>
                </c:pt>
                <c:pt idx="8">
                  <c:v>Abbotsford</c:v>
                </c:pt>
                <c:pt idx="9">
                  <c:v>Chilliwack</c:v>
                </c:pt>
                <c:pt idx="10">
                  <c:v>Edmonds</c:v>
                </c:pt>
                <c:pt idx="11">
                  <c:v>Langley</c:v>
                </c:pt>
                <c:pt idx="12">
                  <c:v>Metrotown</c:v>
                </c:pt>
                <c:pt idx="13">
                  <c:v>North Surrey</c:v>
                </c:pt>
                <c:pt idx="14">
                  <c:v>Port Moody</c:v>
                </c:pt>
                <c:pt idx="15">
                  <c:v>Ridge Meadows</c:v>
                </c:pt>
                <c:pt idx="16">
                  <c:v>Surrey Newton</c:v>
                </c:pt>
                <c:pt idx="17">
                  <c:v>Ashcroft</c:v>
                </c:pt>
                <c:pt idx="18">
                  <c:v>Castlegar*</c:v>
                </c:pt>
                <c:pt idx="19">
                  <c:v>Rutland</c:v>
                </c:pt>
                <c:pt idx="20">
                  <c:v>Kamloops</c:v>
                </c:pt>
                <c:pt idx="21">
                  <c:v>Kelowna</c:v>
                </c:pt>
                <c:pt idx="22">
                  <c:v>Vernon</c:v>
                </c:pt>
                <c:pt idx="23">
                  <c:v>West Kelowna</c:v>
                </c:pt>
                <c:pt idx="24">
                  <c:v>Penticton</c:v>
                </c:pt>
                <c:pt idx="25">
                  <c:v>Cranbrook</c:v>
                </c:pt>
                <c:pt idx="26">
                  <c:v>Prince George*</c:v>
                </c:pt>
                <c:pt idx="27">
                  <c:v>Quesnel</c:v>
                </c:pt>
                <c:pt idx="28">
                  <c:v>North Shore</c:v>
                </c:pt>
                <c:pt idx="29">
                  <c:v>REACH</c:v>
                </c:pt>
                <c:pt idx="30">
                  <c:v>Vancouver CC</c:v>
                </c:pt>
                <c:pt idx="31">
                  <c:v>Northeast</c:v>
                </c:pt>
                <c:pt idx="32">
                  <c:v>Richmond</c:v>
                </c:pt>
              </c:strCache>
            </c:strRef>
          </c:cat>
          <c:val>
            <c:numRef>
              <c:f>'FY2023-2024'!$C$156:$AJ$156</c:f>
              <c:numCache>
                <c:formatCode>General</c:formatCode>
                <c:ptCount val="34"/>
              </c:numCache>
            </c:numRef>
          </c:val>
        </c:ser>
        <c:gapWidth val="20"/>
        <c:overlap val="100"/>
        <c:axId val="83122088"/>
        <c:axId val="89612021"/>
      </c:barChart>
      <c:catAx>
        <c:axId val="83122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900" strike="noStrike" u="none">
                <a:uFillTx/>
                <a:latin typeface="Liberation Sans Narrow"/>
              </a:defRPr>
            </a:pPr>
          </a:p>
        </c:txPr>
        <c:crossAx val="89612021"/>
        <c:crosses val="autoZero"/>
        <c:auto val="1"/>
        <c:lblAlgn val="ctr"/>
        <c:lblOffset val="100"/>
        <c:noMultiLvlLbl val="0"/>
      </c:catAx>
      <c:valAx>
        <c:axId val="89612021"/>
        <c:scaling>
          <c:orientation val="minMax"/>
          <c:max val="3"/>
          <c:min val="-1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83122088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811080</xdr:colOff>
      <xdr:row>215</xdr:row>
      <xdr:rowOff>157320</xdr:rowOff>
    </xdr:from>
    <xdr:to>
      <xdr:col>12</xdr:col>
      <xdr:colOff>484200</xdr:colOff>
      <xdr:row>237</xdr:row>
      <xdr:rowOff>18720</xdr:rowOff>
    </xdr:to>
    <xdr:graphicFrame>
      <xdr:nvGraphicFramePr>
        <xdr:cNvPr id="0" name=""/>
        <xdr:cNvGraphicFramePr/>
      </xdr:nvGraphicFramePr>
      <xdr:xfrm>
        <a:off x="4166280" y="36904680"/>
        <a:ext cx="6988320" cy="343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811800</xdr:colOff>
      <xdr:row>215</xdr:row>
      <xdr:rowOff>156960</xdr:rowOff>
    </xdr:from>
    <xdr:to>
      <xdr:col>23</xdr:col>
      <xdr:colOff>484920</xdr:colOff>
      <xdr:row>237</xdr:row>
      <xdr:rowOff>18360</xdr:rowOff>
    </xdr:to>
    <xdr:graphicFrame>
      <xdr:nvGraphicFramePr>
        <xdr:cNvPr id="1" name=""/>
        <xdr:cNvGraphicFramePr/>
      </xdr:nvGraphicFramePr>
      <xdr:xfrm>
        <a:off x="13107960" y="36904320"/>
        <a:ext cx="6988320" cy="343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811080</xdr:colOff>
      <xdr:row>240</xdr:row>
      <xdr:rowOff>154800</xdr:rowOff>
    </xdr:from>
    <xdr:to>
      <xdr:col>12</xdr:col>
      <xdr:colOff>484200</xdr:colOff>
      <xdr:row>262</xdr:row>
      <xdr:rowOff>16200</xdr:rowOff>
    </xdr:to>
    <xdr:graphicFrame>
      <xdr:nvGraphicFramePr>
        <xdr:cNvPr id="2" name=""/>
        <xdr:cNvGraphicFramePr/>
      </xdr:nvGraphicFramePr>
      <xdr:xfrm>
        <a:off x="4166280" y="40966200"/>
        <a:ext cx="6988320" cy="343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811800</xdr:colOff>
      <xdr:row>240</xdr:row>
      <xdr:rowOff>154800</xdr:rowOff>
    </xdr:from>
    <xdr:to>
      <xdr:col>23</xdr:col>
      <xdr:colOff>484920</xdr:colOff>
      <xdr:row>262</xdr:row>
      <xdr:rowOff>16200</xdr:rowOff>
    </xdr:to>
    <xdr:graphicFrame>
      <xdr:nvGraphicFramePr>
        <xdr:cNvPr id="3" name=""/>
        <xdr:cNvGraphicFramePr/>
      </xdr:nvGraphicFramePr>
      <xdr:xfrm>
        <a:off x="13107960" y="40966200"/>
        <a:ext cx="6988320" cy="343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AW15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B4" activeCellId="0" sqref="1:1048576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20.79"/>
    <col collapsed="false" customWidth="true" hidden="false" outlineLevel="0" max="2" min="2" style="0" width="15.28"/>
    <col collapsed="false" customWidth="true" hidden="false" outlineLevel="0" max="45" min="45" style="0" width="7.46"/>
  </cols>
  <sheetData>
    <row r="3" customFormat="false" ht="12.8" hidden="false" customHeight="false" outlineLevel="0" collapsed="false">
      <c r="AB3" s="1"/>
    </row>
    <row r="4" s="1" customFormat="true" ht="12.8" hidden="false" customHeight="false" outlineLevel="0" collapsed="false">
      <c r="C4" s="2" t="s">
        <v>0</v>
      </c>
      <c r="D4" s="2" t="s">
        <v>0</v>
      </c>
      <c r="E4" s="2" t="s">
        <v>0</v>
      </c>
      <c r="F4" s="2" t="s">
        <v>0</v>
      </c>
      <c r="G4" s="2" t="s">
        <v>0</v>
      </c>
      <c r="H4" s="2" t="s">
        <v>0</v>
      </c>
      <c r="I4" s="2" t="s">
        <v>0</v>
      </c>
      <c r="J4" s="2" t="s">
        <v>0</v>
      </c>
      <c r="K4" s="2" t="s">
        <v>1</v>
      </c>
      <c r="L4" s="2" t="s">
        <v>1</v>
      </c>
      <c r="M4" s="2" t="s">
        <v>1</v>
      </c>
      <c r="N4" s="2" t="s">
        <v>1</v>
      </c>
      <c r="O4" s="2" t="s">
        <v>1</v>
      </c>
      <c r="P4" s="2" t="s">
        <v>1</v>
      </c>
      <c r="Q4" s="2" t="s">
        <v>1</v>
      </c>
      <c r="R4" s="2" t="s">
        <v>1</v>
      </c>
      <c r="S4" s="2" t="s">
        <v>1</v>
      </c>
      <c r="T4" s="2" t="s">
        <v>2</v>
      </c>
      <c r="U4" s="2" t="s">
        <v>2</v>
      </c>
      <c r="V4" s="2" t="s">
        <v>2</v>
      </c>
      <c r="W4" s="2" t="s">
        <v>2</v>
      </c>
      <c r="X4" s="2" t="s">
        <v>2</v>
      </c>
      <c r="Y4" s="2" t="s">
        <v>2</v>
      </c>
      <c r="Z4" s="2" t="s">
        <v>2</v>
      </c>
      <c r="AA4" s="2" t="s">
        <v>2</v>
      </c>
      <c r="AB4" s="2" t="s">
        <v>2</v>
      </c>
      <c r="AC4" s="2" t="s">
        <v>3</v>
      </c>
      <c r="AD4" s="2" t="s">
        <v>3</v>
      </c>
      <c r="AE4" s="2" t="s">
        <v>4</v>
      </c>
      <c r="AF4" s="2" t="s">
        <v>4</v>
      </c>
      <c r="AG4" s="2" t="s">
        <v>4</v>
      </c>
      <c r="AH4" s="2" t="s">
        <v>4</v>
      </c>
      <c r="AI4" s="2" t="s">
        <v>4</v>
      </c>
      <c r="AJ4" s="2" t="s">
        <v>4</v>
      </c>
      <c r="AK4" s="2"/>
      <c r="AL4" s="2" t="s">
        <v>0</v>
      </c>
      <c r="AM4" s="2" t="s">
        <v>1</v>
      </c>
      <c r="AN4" s="2" t="s">
        <v>2</v>
      </c>
      <c r="AO4" s="2" t="s">
        <v>3</v>
      </c>
      <c r="AP4" s="2" t="s">
        <v>4</v>
      </c>
      <c r="AQ4" s="2"/>
      <c r="AR4" s="2" t="s">
        <v>5</v>
      </c>
      <c r="AV4" s="0"/>
      <c r="AW4" s="0"/>
    </row>
    <row r="5" s="3" customFormat="true" ht="12.8" hidden="false" customHeight="false" outlineLevel="0" collapsed="false"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4" t="s">
        <v>24</v>
      </c>
      <c r="V5" s="4" t="s">
        <v>25</v>
      </c>
      <c r="W5" s="4" t="s">
        <v>26</v>
      </c>
      <c r="X5" s="4" t="s">
        <v>27</v>
      </c>
      <c r="Y5" s="4" t="s">
        <v>28</v>
      </c>
      <c r="Z5" s="4" t="s">
        <v>29</v>
      </c>
      <c r="AA5" s="4" t="s">
        <v>30</v>
      </c>
      <c r="AB5" s="4" t="s">
        <v>31</v>
      </c>
      <c r="AC5" s="4" t="s">
        <v>32</v>
      </c>
      <c r="AD5" s="4" t="s">
        <v>33</v>
      </c>
      <c r="AE5" s="4" t="s">
        <v>34</v>
      </c>
      <c r="AF5" s="4" t="s">
        <v>35</v>
      </c>
      <c r="AG5" s="4" t="s">
        <v>36</v>
      </c>
      <c r="AH5" s="4" t="s">
        <v>37</v>
      </c>
      <c r="AI5" s="4" t="s">
        <v>38</v>
      </c>
      <c r="AJ5" s="4" t="s">
        <v>39</v>
      </c>
      <c r="AL5" s="4" t="s">
        <v>40</v>
      </c>
      <c r="AM5" s="4" t="s">
        <v>40</v>
      </c>
      <c r="AN5" s="4" t="s">
        <v>40</v>
      </c>
      <c r="AO5" s="4" t="s">
        <v>40</v>
      </c>
      <c r="AP5" s="4" t="s">
        <v>40</v>
      </c>
      <c r="AR5" s="4" t="s">
        <v>40</v>
      </c>
      <c r="AV5" s="0"/>
      <c r="AW5" s="0"/>
    </row>
    <row r="6" s="3" customFormat="true" ht="12.8" hidden="false" customHeight="false" outlineLevel="0" collapsed="false">
      <c r="A6" s="5" t="s">
        <v>41</v>
      </c>
      <c r="C6" s="6" t="n">
        <v>44396</v>
      </c>
      <c r="D6" s="6" t="n">
        <v>44536</v>
      </c>
      <c r="E6" s="6" t="n">
        <v>44825</v>
      </c>
      <c r="F6" s="6" t="n">
        <v>43949</v>
      </c>
      <c r="G6" s="6" t="n">
        <v>43619</v>
      </c>
      <c r="H6" s="6" t="n">
        <v>44530</v>
      </c>
      <c r="I6" s="6" t="n">
        <v>43409</v>
      </c>
      <c r="J6" s="6" t="n">
        <v>45019</v>
      </c>
      <c r="K6" s="6" t="n">
        <v>43938</v>
      </c>
      <c r="L6" s="7" t="n">
        <v>45401</v>
      </c>
      <c r="M6" s="6" t="n">
        <v>43731</v>
      </c>
      <c r="N6" s="6" t="n">
        <v>45402</v>
      </c>
      <c r="O6" s="6" t="n">
        <v>44866</v>
      </c>
      <c r="P6" s="6" t="n">
        <v>43412</v>
      </c>
      <c r="Q6" s="6" t="n">
        <v>44249</v>
      </c>
      <c r="R6" s="6" t="n">
        <v>43739</v>
      </c>
      <c r="S6" s="6" t="n">
        <v>43976</v>
      </c>
      <c r="T6" s="6" t="n">
        <v>44831</v>
      </c>
      <c r="U6" s="6" t="n">
        <v>43927</v>
      </c>
      <c r="V6" s="6" t="n">
        <v>45251</v>
      </c>
      <c r="W6" s="6" t="n">
        <v>43263</v>
      </c>
      <c r="X6" s="6" t="n">
        <v>43829</v>
      </c>
      <c r="Y6" s="6" t="n">
        <v>43739</v>
      </c>
      <c r="Z6" s="6" t="n">
        <v>44109</v>
      </c>
      <c r="AA6" s="6" t="n">
        <v>44286</v>
      </c>
      <c r="AB6" s="6" t="n">
        <v>44542</v>
      </c>
      <c r="AC6" s="6" t="n">
        <v>43621</v>
      </c>
      <c r="AD6" s="6" t="n">
        <v>43404</v>
      </c>
      <c r="AE6" s="6" t="n">
        <v>43773</v>
      </c>
      <c r="AF6" s="6" t="n">
        <v>43773</v>
      </c>
      <c r="AG6" s="6" t="n">
        <v>43430</v>
      </c>
      <c r="AH6" s="6" t="n">
        <v>44243</v>
      </c>
      <c r="AI6" s="6" t="n">
        <v>44287</v>
      </c>
      <c r="AJ6" s="6" t="n">
        <v>44649</v>
      </c>
      <c r="AL6" s="4"/>
      <c r="AM6" s="4"/>
      <c r="AN6" s="4"/>
      <c r="AO6" s="4"/>
      <c r="AP6" s="4"/>
      <c r="AR6" s="4"/>
      <c r="AV6" s="0"/>
      <c r="AW6" s="0"/>
    </row>
    <row r="7" s="3" customFormat="true" ht="12.8" hidden="false" customHeight="false" outlineLevel="0" collapsed="false">
      <c r="A7" s="5"/>
      <c r="C7" s="6"/>
      <c r="D7" s="6"/>
      <c r="E7" s="6"/>
      <c r="F7" s="6"/>
      <c r="G7" s="6"/>
      <c r="H7" s="6"/>
      <c r="I7" s="6"/>
      <c r="J7" s="6"/>
      <c r="K7" s="6"/>
      <c r="L7" s="7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L7" s="4"/>
      <c r="AM7" s="4"/>
      <c r="AN7" s="4"/>
      <c r="AO7" s="4"/>
      <c r="AP7" s="4"/>
      <c r="AR7" s="4"/>
      <c r="AV7" s="0"/>
      <c r="AW7" s="0"/>
    </row>
    <row r="8" s="3" customFormat="true" ht="17.35" hidden="false" customHeight="false" outlineLevel="0" collapsed="false">
      <c r="A8" s="8" t="s">
        <v>42</v>
      </c>
      <c r="C8" s="6"/>
      <c r="D8" s="6"/>
      <c r="E8" s="6"/>
      <c r="F8" s="6"/>
      <c r="G8" s="6"/>
      <c r="H8" s="6"/>
      <c r="I8" s="6"/>
      <c r="J8" s="6"/>
      <c r="K8" s="6"/>
      <c r="L8" s="7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L8" s="4"/>
      <c r="AM8" s="4"/>
      <c r="AN8" s="4"/>
      <c r="AO8" s="4"/>
      <c r="AP8" s="4"/>
      <c r="AR8" s="4"/>
      <c r="AV8" s="0"/>
      <c r="AW8" s="0"/>
    </row>
    <row r="9" s="3" customFormat="true" ht="17.35" hidden="false" customHeight="false" outlineLevel="0" collapsed="false">
      <c r="A9" s="8"/>
      <c r="C9" s="6"/>
      <c r="D9" s="6"/>
      <c r="E9" s="6"/>
      <c r="F9" s="6"/>
      <c r="G9" s="6"/>
      <c r="H9" s="6"/>
      <c r="I9" s="6"/>
      <c r="J9" s="6"/>
      <c r="K9" s="6"/>
      <c r="L9" s="7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L9" s="4"/>
      <c r="AM9" s="4"/>
      <c r="AN9" s="4"/>
      <c r="AO9" s="4"/>
      <c r="AP9" s="4"/>
      <c r="AR9" s="4"/>
      <c r="AV9" s="0"/>
      <c r="AW9" s="0"/>
    </row>
    <row r="10" customFormat="false" ht="12.75" hidden="false" customHeight="false" outlineLevel="0" collapsed="false">
      <c r="A10" s="5" t="s">
        <v>43</v>
      </c>
      <c r="B10" s="5" t="s">
        <v>44</v>
      </c>
      <c r="C10" s="9" t="n">
        <f aca="false">961474+2228339</f>
        <v>3189813</v>
      </c>
      <c r="D10" s="9" t="n">
        <f aca="false">1074325+1019232</f>
        <v>2093557</v>
      </c>
      <c r="E10" s="9" t="n">
        <f aca="false">1023167+682111</f>
        <v>1705278</v>
      </c>
      <c r="F10" s="9" t="n">
        <f aca="false">1056435+775537</f>
        <v>1831972</v>
      </c>
      <c r="G10" s="9" t="n">
        <f aca="false">463750+48672</f>
        <v>512422</v>
      </c>
      <c r="H10" s="9" t="n">
        <f aca="false">1234238+1229148</f>
        <v>2463386</v>
      </c>
      <c r="I10" s="9" t="n">
        <v>1809583</v>
      </c>
      <c r="J10" s="9"/>
      <c r="K10" s="9" t="n">
        <f aca="false">787682+716791</f>
        <v>1504473</v>
      </c>
      <c r="L10" s="9" t="n">
        <v>329107</v>
      </c>
      <c r="M10" s="9" t="n">
        <v>407160</v>
      </c>
      <c r="N10" s="9" t="s">
        <v>45</v>
      </c>
      <c r="O10" s="9" t="n">
        <f aca="false">477478+716217</f>
        <v>1193695</v>
      </c>
      <c r="P10" s="9" t="n">
        <f aca="false">493689+354297</f>
        <v>847986</v>
      </c>
      <c r="Q10" s="9" t="n">
        <f aca="false">682111+716217</f>
        <v>1398328</v>
      </c>
      <c r="R10" s="9" t="n">
        <v>661653</v>
      </c>
      <c r="S10" s="9" t="n">
        <f aca="false">642870+634993</f>
        <v>1277863</v>
      </c>
      <c r="T10" s="9" t="n">
        <f aca="false">658371+437996</f>
        <v>1096367</v>
      </c>
      <c r="U10" s="9"/>
      <c r="V10" s="9" t="n">
        <f aca="false">868178+770882</f>
        <v>1639060</v>
      </c>
      <c r="W10" s="9" t="n">
        <f aca="false">551477+1166035</f>
        <v>1717512</v>
      </c>
      <c r="X10" s="9" t="n">
        <f aca="false">180775+1358449</f>
        <v>1539224</v>
      </c>
      <c r="Y10" s="9" t="n">
        <f aca="false">293482+293482</f>
        <v>586964</v>
      </c>
      <c r="Z10" s="9" t="n">
        <v>346050</v>
      </c>
      <c r="AA10" s="9" t="n">
        <f aca="false">814964+297507</f>
        <v>1112471</v>
      </c>
      <c r="AB10" s="9" t="n">
        <f aca="false">796105+349846</f>
        <v>1145951</v>
      </c>
      <c r="AC10" s="9"/>
      <c r="AD10" s="9" t="n">
        <f aca="false">201331+46094</f>
        <v>247425</v>
      </c>
      <c r="AE10" s="9" t="n">
        <v>1050496</v>
      </c>
      <c r="AF10" s="9" t="n">
        <v>846001</v>
      </c>
      <c r="AG10" s="9" t="n">
        <v>853140</v>
      </c>
      <c r="AH10" s="9" t="n">
        <v>1337875</v>
      </c>
      <c r="AI10" s="9" t="n">
        <v>2569834</v>
      </c>
      <c r="AJ10" s="9" t="n">
        <v>1282574</v>
      </c>
      <c r="AK10" s="9"/>
      <c r="AL10" s="9" t="n">
        <f aca="false">SUMIF($C$4:$AJ$4, AL$4,$C10:$AJ10)</f>
        <v>13606011</v>
      </c>
      <c r="AM10" s="9" t="n">
        <f aca="false">SUMIF($C$4:$AJ$4, AM$4,$C10:$AJ10)</f>
        <v>7620265</v>
      </c>
      <c r="AN10" s="9" t="n">
        <f aca="false">SUMIF($C$4:$AJ$4, AN$4,$C10:$AJ10)</f>
        <v>9183599</v>
      </c>
      <c r="AO10" s="9" t="n">
        <f aca="false">SUMIF($C$4:$AJ$4, AO$4,$C10:$AJ10)</f>
        <v>247425</v>
      </c>
      <c r="AP10" s="9" t="n">
        <f aca="false">SUMIF($C$4:$AJ$4, AP$4,$C10:$AJ10)</f>
        <v>7939920</v>
      </c>
      <c r="AQ10" s="9"/>
      <c r="AR10" s="9" t="n">
        <f aca="false">SUM(C10:AJ10)</f>
        <v>38597220</v>
      </c>
    </row>
    <row r="11" customFormat="false" ht="16.25" hidden="false" customHeight="false" outlineLevel="0" collapsed="false">
      <c r="A11" s="0" t="s">
        <v>43</v>
      </c>
      <c r="B11" s="0" t="s">
        <v>46</v>
      </c>
      <c r="C11" s="10" t="n">
        <f aca="false">1042189+1935495</f>
        <v>2977684</v>
      </c>
      <c r="D11" s="10" t="n">
        <v>756144</v>
      </c>
      <c r="E11" s="10" t="n">
        <f aca="false">226643+906572</f>
        <v>1133215</v>
      </c>
      <c r="F11" s="10" t="n">
        <f aca="false">1404741+351185</f>
        <v>1755926</v>
      </c>
      <c r="G11" s="10" t="n">
        <v>0</v>
      </c>
      <c r="H11" s="10" t="n">
        <v>1442004</v>
      </c>
      <c r="I11" s="10" t="n">
        <v>1221529</v>
      </c>
      <c r="J11" s="10"/>
      <c r="K11" s="10" t="n">
        <f aca="false">361490+309595</f>
        <v>671085</v>
      </c>
      <c r="L11" s="10"/>
      <c r="M11" s="10" t="n">
        <v>569839</v>
      </c>
      <c r="N11" s="10" t="n">
        <v>613</v>
      </c>
      <c r="O11" s="10" t="n">
        <f aca="false">566641+1069356</f>
        <v>1635997</v>
      </c>
      <c r="P11" s="10" t="n">
        <f aca="false">558761+627871</f>
        <v>1186632</v>
      </c>
      <c r="Q11" s="10" t="n">
        <f aca="false">328185+1477679</f>
        <v>1805864</v>
      </c>
      <c r="R11" s="10" t="n">
        <v>912911</v>
      </c>
      <c r="S11" s="10" t="n">
        <f aca="false">445473+594078</f>
        <v>1039551</v>
      </c>
      <c r="T11" s="10" t="n">
        <v>261385</v>
      </c>
      <c r="U11" s="10"/>
      <c r="V11" s="10" t="n">
        <f aca="false">104261+29160</f>
        <v>133421</v>
      </c>
      <c r="W11" s="10" t="n">
        <f aca="false">349611+1175701</f>
        <v>1525312</v>
      </c>
      <c r="X11" s="10" t="n">
        <f aca="false">240287+1583366</f>
        <v>1823653</v>
      </c>
      <c r="Y11" s="10" t="n">
        <f aca="false">296479+256010</f>
        <v>552489</v>
      </c>
      <c r="Z11" s="10" t="n">
        <v>524363</v>
      </c>
      <c r="AA11" s="10" t="n">
        <f aca="false">455431+130549</f>
        <v>585980</v>
      </c>
      <c r="AB11" s="10" t="n">
        <f aca="false">477720</f>
        <v>477720</v>
      </c>
      <c r="AC11" s="10"/>
      <c r="AD11" s="10" t="n">
        <v>290932</v>
      </c>
      <c r="AE11" s="10" t="n">
        <v>1408951</v>
      </c>
      <c r="AF11" s="10" t="n">
        <v>1280516</v>
      </c>
      <c r="AG11" s="10" t="n">
        <v>1892223</v>
      </c>
      <c r="AH11" s="10" t="n">
        <v>1095249</v>
      </c>
      <c r="AI11" s="10" t="n">
        <v>2426031</v>
      </c>
      <c r="AJ11" s="10" t="n">
        <v>1412437</v>
      </c>
      <c r="AK11" s="10"/>
      <c r="AL11" s="10" t="n">
        <f aca="false">SUMIF($C$4:$AJ$4, AL$4,$C11:$AJ11)</f>
        <v>9286502</v>
      </c>
      <c r="AM11" s="10" t="n">
        <f aca="false">SUMIF($C$4:$AJ$4, AM$4,$C11:$AJ11)</f>
        <v>7822492</v>
      </c>
      <c r="AN11" s="10" t="n">
        <f aca="false">SUMIF($C$4:$AJ$4, AN$4,$C11:$AJ11)</f>
        <v>5884323</v>
      </c>
      <c r="AO11" s="10" t="n">
        <f aca="false">SUMIF($C$4:$AJ$4, AO$4,$C11:$AJ11)</f>
        <v>290932</v>
      </c>
      <c r="AP11" s="10" t="n">
        <f aca="false">SUMIF($C$4:$AJ$4, AP$4,$C11:$AJ11)</f>
        <v>9515407</v>
      </c>
      <c r="AQ11" s="10"/>
      <c r="AR11" s="10" t="n">
        <f aca="false">SUM(C11:AJ11)</f>
        <v>32799656</v>
      </c>
    </row>
    <row r="12" customFormat="false" ht="12.75" hidden="false" customHeight="false" outlineLevel="0" collapsed="false">
      <c r="A12" s="0" t="s">
        <v>47</v>
      </c>
      <c r="B12" s="0" t="s">
        <v>44</v>
      </c>
      <c r="C12" s="10" t="n">
        <f aca="false">371429</f>
        <v>371429</v>
      </c>
      <c r="D12" s="10" t="n">
        <v>137700</v>
      </c>
      <c r="E12" s="10" t="n">
        <f aca="false">297143+198095</f>
        <v>495238</v>
      </c>
      <c r="F12" s="10" t="n">
        <f aca="false">190151+125267</f>
        <v>315418</v>
      </c>
      <c r="G12" s="10" t="n">
        <v>320000</v>
      </c>
      <c r="H12" s="10" t="n">
        <v>181500</v>
      </c>
      <c r="I12" s="10" t="n">
        <v>154800</v>
      </c>
      <c r="J12" s="10"/>
      <c r="K12" s="10" t="n">
        <f aca="false">300000+317551</f>
        <v>617551</v>
      </c>
      <c r="L12" s="10" t="n">
        <v>161760</v>
      </c>
      <c r="M12" s="10"/>
      <c r="N12" s="10"/>
      <c r="O12" s="10" t="n">
        <v>530400</v>
      </c>
      <c r="P12" s="10" t="n">
        <f aca="false">101120+70614</f>
        <v>171734</v>
      </c>
      <c r="Q12" s="10" t="n">
        <f aca="false">446875+390000</f>
        <v>836875</v>
      </c>
      <c r="R12" s="10"/>
      <c r="S12" s="10" t="n">
        <f aca="false">300000+364596</f>
        <v>664596</v>
      </c>
      <c r="T12" s="10" t="n">
        <f aca="false">277117+184745</f>
        <v>461862</v>
      </c>
      <c r="U12" s="10"/>
      <c r="V12" s="10" t="n">
        <f aca="false">324000+552420</f>
        <v>876420</v>
      </c>
      <c r="W12" s="10" t="n">
        <v>320000</v>
      </c>
      <c r="X12" s="10" t="n">
        <v>403563</v>
      </c>
      <c r="Y12" s="10" t="n">
        <f aca="false">353415+353415</f>
        <v>706830</v>
      </c>
      <c r="Z12" s="10" t="n">
        <f aca="false">261629+217571</f>
        <v>479200</v>
      </c>
      <c r="AA12" s="10" t="n">
        <f aca="false">177639+191850</f>
        <v>369489</v>
      </c>
      <c r="AB12" s="10" t="n">
        <f aca="false">300210+197179</f>
        <v>497389</v>
      </c>
      <c r="AC12" s="10" t="n">
        <v>158452</v>
      </c>
      <c r="AD12" s="10" t="n">
        <v>117805</v>
      </c>
      <c r="AE12" s="10" t="n">
        <v>223600</v>
      </c>
      <c r="AF12" s="10" t="n">
        <v>348921</v>
      </c>
      <c r="AG12" s="10" t="n">
        <v>263163</v>
      </c>
      <c r="AH12" s="10" t="n">
        <f aca="false">210000+460500</f>
        <v>670500</v>
      </c>
      <c r="AI12" s="10" t="n">
        <v>875400</v>
      </c>
      <c r="AJ12" s="10" t="n">
        <v>683910</v>
      </c>
      <c r="AK12" s="10"/>
      <c r="AL12" s="10" t="n">
        <f aca="false">SUMIF($C$4:$AJ$4, AL$4,$C12:$AJ12)</f>
        <v>1976085</v>
      </c>
      <c r="AM12" s="10" t="n">
        <f aca="false">SUMIF($C$4:$AJ$4, AM$4,$C12:$AJ12)</f>
        <v>2982916</v>
      </c>
      <c r="AN12" s="10" t="n">
        <f aca="false">SUMIF($C$4:$AJ$4, AN$4,$C12:$AJ12)</f>
        <v>4114753</v>
      </c>
      <c r="AO12" s="10" t="n">
        <f aca="false">SUMIF($C$4:$AJ$4, AO$4,$C12:$AJ12)</f>
        <v>276257</v>
      </c>
      <c r="AP12" s="10" t="n">
        <f aca="false">SUMIF($C$4:$AJ$4, AP$4,$C12:$AJ12)</f>
        <v>3065494</v>
      </c>
      <c r="AQ12" s="10"/>
      <c r="AR12" s="10" t="n">
        <f aca="false">SUM(C12:AJ12)</f>
        <v>12415505</v>
      </c>
    </row>
    <row r="13" customFormat="false" ht="16.25" hidden="false" customHeight="false" outlineLevel="0" collapsed="false">
      <c r="A13" s="0" t="s">
        <v>47</v>
      </c>
      <c r="B13" s="0" t="s">
        <v>46</v>
      </c>
      <c r="C13" s="10"/>
      <c r="D13" s="10" t="n">
        <v>0</v>
      </c>
      <c r="E13" s="10" t="n">
        <f aca="false">501094</f>
        <v>501094</v>
      </c>
      <c r="F13" s="10" t="n">
        <v>0</v>
      </c>
      <c r="G13" s="10" t="n">
        <v>77024</v>
      </c>
      <c r="H13" s="10" t="n">
        <v>50904</v>
      </c>
      <c r="I13" s="10" t="n">
        <v>201487</v>
      </c>
      <c r="J13" s="10"/>
      <c r="K13" s="10" t="n">
        <f aca="false">427972+320209</f>
        <v>748181</v>
      </c>
      <c r="L13" s="10"/>
      <c r="M13" s="10"/>
      <c r="N13" s="10"/>
      <c r="O13" s="10" t="n">
        <v>525236</v>
      </c>
      <c r="P13" s="10" t="n">
        <f aca="false">180502+180169</f>
        <v>360671</v>
      </c>
      <c r="Q13" s="10" t="n">
        <f aca="false">450724+353534</f>
        <v>804258</v>
      </c>
      <c r="R13" s="10"/>
      <c r="S13" s="10" t="n">
        <f aca="false">725265+227956</f>
        <v>953221</v>
      </c>
      <c r="T13" s="10"/>
      <c r="U13" s="10"/>
      <c r="V13" s="10" t="n">
        <f aca="false">86448+7215</f>
        <v>93663</v>
      </c>
      <c r="W13" s="10" t="n">
        <v>32143</v>
      </c>
      <c r="X13" s="10" t="n">
        <v>414887</v>
      </c>
      <c r="Y13" s="10" t="n">
        <f aca="false">235628+238952</f>
        <v>474580</v>
      </c>
      <c r="Z13" s="10" t="n">
        <f aca="false">278342+170660</f>
        <v>449002</v>
      </c>
      <c r="AA13" s="10" t="n">
        <f aca="false">80047+108813</f>
        <v>188860</v>
      </c>
      <c r="AB13" s="10" t="n">
        <f aca="false">343165</f>
        <v>343165</v>
      </c>
      <c r="AC13" s="10" t="n">
        <v>60546</v>
      </c>
      <c r="AD13" s="10" t="n">
        <v>223629</v>
      </c>
      <c r="AE13" s="10" t="n">
        <v>724544</v>
      </c>
      <c r="AF13" s="10" t="n">
        <v>353321</v>
      </c>
      <c r="AG13" s="10" t="n">
        <v>575970</v>
      </c>
      <c r="AH13" s="10" t="n">
        <v>738255</v>
      </c>
      <c r="AI13" s="10" t="n">
        <v>887474</v>
      </c>
      <c r="AJ13" s="10" t="n">
        <v>711530</v>
      </c>
      <c r="AK13" s="10"/>
      <c r="AL13" s="10" t="n">
        <f aca="false">SUMIF($C$4:$AJ$4, AL$4,$C13:$AJ13)</f>
        <v>830509</v>
      </c>
      <c r="AM13" s="10" t="n">
        <f aca="false">SUMIF($C$4:$AJ$4, AM$4,$C13:$AJ13)</f>
        <v>3391567</v>
      </c>
      <c r="AN13" s="10" t="n">
        <f aca="false">SUMIF($C$4:$AJ$4, AN$4,$C13:$AJ13)</f>
        <v>1996300</v>
      </c>
      <c r="AO13" s="10" t="n">
        <f aca="false">SUMIF($C$4:$AJ$4, AO$4,$C13:$AJ13)</f>
        <v>284175</v>
      </c>
      <c r="AP13" s="10" t="n">
        <f aca="false">SUMIF($C$4:$AJ$4, AP$4,$C13:$AJ13)</f>
        <v>3991094</v>
      </c>
      <c r="AQ13" s="10"/>
      <c r="AR13" s="10" t="n">
        <f aca="false">SUM(C13:AJ13)</f>
        <v>10493645</v>
      </c>
    </row>
    <row r="14" customFormat="false" ht="12.75" hidden="false" customHeight="false" outlineLevel="0" collapsed="false">
      <c r="A14" s="0" t="s">
        <v>48</v>
      </c>
      <c r="B14" s="0" t="s">
        <v>44</v>
      </c>
      <c r="C14" s="10" t="n">
        <f aca="false">1092282+673961+113613</f>
        <v>1879856</v>
      </c>
      <c r="D14" s="10" t="n">
        <f aca="false">649800+387600+110400</f>
        <v>1147800</v>
      </c>
      <c r="E14" s="10" t="n">
        <f aca="false">656084+343238+113613</f>
        <v>1112935</v>
      </c>
      <c r="F14" s="10" t="n">
        <f aca="false">589808+361764+108673</f>
        <v>1060245</v>
      </c>
      <c r="G14" s="10" t="n">
        <f aca="false">524631+262316</f>
        <v>786947</v>
      </c>
      <c r="H14" s="10" t="n">
        <f aca="false">389850+511890</f>
        <v>901740</v>
      </c>
      <c r="I14" s="10" t="n">
        <v>604240</v>
      </c>
      <c r="J14" s="10" t="n">
        <f aca="false">485120+169920</f>
        <v>655040</v>
      </c>
      <c r="K14" s="10" t="n">
        <f aca="false">265802+150543+274662</f>
        <v>691007</v>
      </c>
      <c r="L14" s="10" t="n">
        <f aca="false">218880+159030+246240</f>
        <v>624150</v>
      </c>
      <c r="M14" s="10" t="n">
        <v>459568</v>
      </c>
      <c r="N14" s="10" t="n">
        <f aca="false">283680+252160</f>
        <v>535840</v>
      </c>
      <c r="O14" s="10" t="n">
        <f aca="false">407469+105380+305602+345119</f>
        <v>1163570</v>
      </c>
      <c r="P14" s="10" t="n">
        <f aca="false">244632+342485+231585</f>
        <v>818702</v>
      </c>
      <c r="Q14" s="10" t="n">
        <f aca="false">291049+105380+305602+221298+345119</f>
        <v>1268448</v>
      </c>
      <c r="R14" s="10" t="n">
        <f aca="false">293211+153317</f>
        <v>446528</v>
      </c>
      <c r="S14" s="10" t="n">
        <f aca="false">265802+150543+274663</f>
        <v>691008</v>
      </c>
      <c r="T14" s="10" t="n">
        <f aca="false">127070+331110+117300+83840+221130+78200</f>
        <v>958650</v>
      </c>
      <c r="U14" s="10" t="n">
        <f aca="false">340922+75580</f>
        <v>416502</v>
      </c>
      <c r="V14" s="10" t="n">
        <f aca="false">471040+339840+906240</f>
        <v>1717120</v>
      </c>
      <c r="W14" s="10" t="n">
        <f aca="false">116646+94069+376480+101400</f>
        <v>688595</v>
      </c>
      <c r="X14" s="10" t="n">
        <f aca="false">186271+610372+332320</f>
        <v>1128963</v>
      </c>
      <c r="Y14" s="10" t="n">
        <f aca="false">146628+146628+293256+38785+138557</f>
        <v>763854</v>
      </c>
      <c r="Z14" s="10" t="n">
        <f aca="false">144174+186675+311397+194339</f>
        <v>836585</v>
      </c>
      <c r="AA14" s="10" t="n">
        <f aca="false">153270+136890+140170+250380</f>
        <v>680710</v>
      </c>
      <c r="AB14" s="10" t="n">
        <f aca="false">188640+269100+125760+179010</f>
        <v>762510</v>
      </c>
      <c r="AC14" s="10" t="n">
        <v>190978</v>
      </c>
      <c r="AD14" s="10" t="n">
        <f aca="false">155085+116314</f>
        <v>271399</v>
      </c>
      <c r="AE14" s="10" t="n">
        <v>778466</v>
      </c>
      <c r="AF14" s="10" t="n">
        <f aca="false">523742+243630</f>
        <v>767372</v>
      </c>
      <c r="AG14" s="10" t="n">
        <v>1039329</v>
      </c>
      <c r="AH14" s="10" t="n">
        <f aca="false">1339050+128000</f>
        <v>1467050</v>
      </c>
      <c r="AI14" s="10" t="n">
        <f aca="false">1732800+129000</f>
        <v>1861800</v>
      </c>
      <c r="AJ14" s="10" t="n">
        <f aca="false">1362004+129347</f>
        <v>1491351</v>
      </c>
      <c r="AK14" s="10"/>
      <c r="AL14" s="10" t="n">
        <f aca="false">SUMIF($C$4:$AJ$4, AL$4,$C14:$AJ14)</f>
        <v>8148803</v>
      </c>
      <c r="AM14" s="10" t="n">
        <f aca="false">SUMIF($C$4:$AJ$4, AM$4,$C14:$AJ14)</f>
        <v>6698821</v>
      </c>
      <c r="AN14" s="10" t="n">
        <f aca="false">SUMIF($C$4:$AJ$4, AN$4,$C14:$AJ14)</f>
        <v>7953489</v>
      </c>
      <c r="AO14" s="10" t="n">
        <f aca="false">SUMIF($C$4:$AJ$4, AO$4,$C14:$AJ14)</f>
        <v>462377</v>
      </c>
      <c r="AP14" s="10" t="n">
        <f aca="false">SUMIF($C$4:$AJ$4, AP$4,$C14:$AJ14)</f>
        <v>7405368</v>
      </c>
      <c r="AQ14" s="10"/>
      <c r="AR14" s="10" t="n">
        <f aca="false">SUM(C14:AJ14)</f>
        <v>30668858</v>
      </c>
    </row>
    <row r="15" customFormat="false" ht="12.75" hidden="false" customHeight="false" outlineLevel="0" collapsed="false">
      <c r="A15" s="0" t="s">
        <v>48</v>
      </c>
      <c r="B15" s="0" t="s">
        <v>46</v>
      </c>
      <c r="C15" s="10" t="n">
        <f aca="false">246241+1649023+105643</f>
        <v>2000907</v>
      </c>
      <c r="D15" s="10" t="n">
        <f aca="false">1306314+82661</f>
        <v>1388975</v>
      </c>
      <c r="E15" s="10" t="n">
        <f aca="false">296517+1186068+114381</f>
        <v>1596966</v>
      </c>
      <c r="F15" s="10" t="n">
        <f aca="false">790702+263567+73041</f>
        <v>1127310</v>
      </c>
      <c r="G15" s="10" t="n">
        <f aca="false">349812</f>
        <v>349812</v>
      </c>
      <c r="H15" s="10" t="n">
        <f aca="false">261236+1044942</f>
        <v>1306178</v>
      </c>
      <c r="I15" s="10" t="n">
        <v>784767</v>
      </c>
      <c r="J15" s="10" t="n">
        <f aca="false">58721+143236</f>
        <v>201957</v>
      </c>
      <c r="K15" s="10" t="n">
        <f aca="false">289889+310197+630315</f>
        <v>1230401</v>
      </c>
      <c r="L15" s="10" t="n">
        <f aca="false">18864+13250+28232</f>
        <v>60346</v>
      </c>
      <c r="M15" s="10" t="n">
        <v>831463</v>
      </c>
      <c r="N15" s="10" t="n">
        <f aca="false">49338+51725</f>
        <v>101063</v>
      </c>
      <c r="O15" s="10" t="n">
        <f aca="false">119083+119311+1170935+370537</f>
        <v>1779866</v>
      </c>
      <c r="P15" s="10" t="n">
        <f aca="false">395905+722619+323311</f>
        <v>1441835</v>
      </c>
      <c r="Q15" s="10" t="n">
        <f aca="false">364854+117278+808764+295230+383092</f>
        <v>1969218</v>
      </c>
      <c r="R15" s="10" t="n">
        <f aca="false">1092667+159209</f>
        <v>1251876</v>
      </c>
      <c r="S15" s="10" t="n">
        <f aca="false">409939+267508+509048</f>
        <v>1186495</v>
      </c>
      <c r="T15" s="10" t="n">
        <f aca="false">417034+637410</f>
        <v>1054444</v>
      </c>
      <c r="U15" s="10" t="n">
        <f aca="false">414234+63483</f>
        <v>477717</v>
      </c>
      <c r="V15" s="10" t="n">
        <f aca="false">296861+124811+374432</f>
        <v>796104</v>
      </c>
      <c r="W15" s="10" t="n">
        <f aca="false">10697+4175+972429+212958</f>
        <v>1200259</v>
      </c>
      <c r="X15" s="10" t="n">
        <f aca="false">297817+1064112+567993</f>
        <v>1929922</v>
      </c>
      <c r="Y15" s="10" t="n">
        <f aca="false">325824+419793+209897+839587</f>
        <v>1795101</v>
      </c>
      <c r="Z15" s="10" t="n">
        <f aca="false">19787+29442+734580+493677</f>
        <v>1277486</v>
      </c>
      <c r="AA15" s="10" t="n">
        <f aca="false">11518+20600+287367+513975</f>
        <v>833460</v>
      </c>
      <c r="AB15" s="10" t="n">
        <f aca="false">263695+744951</f>
        <v>1008646</v>
      </c>
      <c r="AC15" s="10" t="n">
        <v>502185</v>
      </c>
      <c r="AD15" s="10" t="n">
        <f aca="false">249234+172217</f>
        <v>421451</v>
      </c>
      <c r="AE15" s="10" t="n">
        <v>1337024</v>
      </c>
      <c r="AF15" s="10" t="n">
        <f aca="false">516879+255000</f>
        <v>771879</v>
      </c>
      <c r="AG15" s="10" t="n">
        <v>1115797</v>
      </c>
      <c r="AH15" s="10" t="n">
        <f aca="false">1354914+170483</f>
        <v>1525397</v>
      </c>
      <c r="AI15" s="10" t="n">
        <f aca="false">1584168+136174</f>
        <v>1720342</v>
      </c>
      <c r="AJ15" s="10" t="n">
        <f aca="false">1410435+166289</f>
        <v>1576724</v>
      </c>
      <c r="AK15" s="10"/>
      <c r="AL15" s="10" t="n">
        <f aca="false">SUMIF($C$4:$AJ$4, AL$4,$C15:$AJ15)</f>
        <v>8756872</v>
      </c>
      <c r="AM15" s="10" t="n">
        <f aca="false">SUMIF($C$4:$AJ$4, AM$4,$C15:$AJ15)</f>
        <v>9852563</v>
      </c>
      <c r="AN15" s="10" t="n">
        <f aca="false">SUMIF($C$4:$AJ$4, AN$4,$C15:$AJ15)</f>
        <v>10373139</v>
      </c>
      <c r="AO15" s="10" t="n">
        <f aca="false">SUMIF($C$4:$AJ$4, AO$4,$C15:$AJ15)</f>
        <v>923636</v>
      </c>
      <c r="AP15" s="10" t="n">
        <f aca="false">SUMIF($C$4:$AJ$4, AP$4,$C15:$AJ15)</f>
        <v>8047163</v>
      </c>
      <c r="AQ15" s="10"/>
      <c r="AR15" s="10" t="n">
        <f aca="false">SUM(C15:AJ15)</f>
        <v>37953373</v>
      </c>
    </row>
    <row r="16" customFormat="false" ht="12.75" hidden="false" customHeight="false" outlineLevel="0" collapsed="false">
      <c r="A16" s="0" t="s">
        <v>49</v>
      </c>
      <c r="B16" s="0" t="s">
        <v>44</v>
      </c>
      <c r="C16" s="10" t="n">
        <f aca="false">128197+465648</f>
        <v>593845</v>
      </c>
      <c r="D16" s="10" t="n">
        <f aca="false">70700+464600</f>
        <v>535300</v>
      </c>
      <c r="E16" s="10" t="n">
        <f aca="false">128197+232824</f>
        <v>361021</v>
      </c>
      <c r="F16" s="10" t="n">
        <f aca="false">242045</f>
        <v>242045</v>
      </c>
      <c r="G16" s="10" t="n">
        <f aca="false">329576+166470</f>
        <v>496046</v>
      </c>
      <c r="H16" s="10" t="n">
        <f aca="false">76650+242550</f>
        <v>319200</v>
      </c>
      <c r="I16" s="10" t="n">
        <v>524300</v>
      </c>
      <c r="J16" s="10" t="n">
        <f aca="false">143960+148200</f>
        <v>292160</v>
      </c>
      <c r="K16" s="10" t="n">
        <f aca="false">84000+105000+24698</f>
        <v>213698</v>
      </c>
      <c r="L16" s="10"/>
      <c r="M16" s="10" t="n">
        <f aca="false">182447+182447</f>
        <v>364894</v>
      </c>
      <c r="N16" s="10"/>
      <c r="O16" s="10" t="n">
        <f aca="false">243691+194133</f>
        <v>437824</v>
      </c>
      <c r="P16" s="10" t="n">
        <f aca="false">99000+99000</f>
        <v>198000</v>
      </c>
      <c r="Q16" s="10" t="n">
        <f aca="false">110933+118400</f>
        <v>229333</v>
      </c>
      <c r="R16" s="10" t="n">
        <f aca="false">123353+185705</f>
        <v>309058</v>
      </c>
      <c r="S16" s="10" t="n">
        <f aca="false">84000+105000+24698</f>
        <v>213698</v>
      </c>
      <c r="T16" s="10" t="n">
        <f aca="false">66000+48000+51060+36800</f>
        <v>201860</v>
      </c>
      <c r="U16" s="10" t="n">
        <f aca="false">287160</f>
        <v>287160</v>
      </c>
      <c r="V16" s="10" t="n">
        <f aca="false">130227+287920</f>
        <v>418147</v>
      </c>
      <c r="W16" s="10" t="n">
        <f aca="false">119396+128700</f>
        <v>248096</v>
      </c>
      <c r="X16" s="10" t="n">
        <f aca="false">243559</f>
        <v>243559</v>
      </c>
      <c r="Y16" s="10" t="n">
        <f aca="false">138557+137211+333612+137211</f>
        <v>746591</v>
      </c>
      <c r="Z16" s="10" t="n">
        <f aca="false">76552+150187</f>
        <v>226739</v>
      </c>
      <c r="AA16" s="10" t="n">
        <f aca="false">161786+56416+58556</f>
        <v>276758</v>
      </c>
      <c r="AB16" s="10" t="n">
        <f aca="false">142080+23200+108780+17600</f>
        <v>291660</v>
      </c>
      <c r="AC16" s="10"/>
      <c r="AD16" s="10" t="n">
        <f aca="false">63935+37201</f>
        <v>101136</v>
      </c>
      <c r="AE16" s="10" t="n">
        <v>204000</v>
      </c>
      <c r="AF16" s="10" t="n">
        <v>153000</v>
      </c>
      <c r="AG16" s="10" t="n">
        <v>329787</v>
      </c>
      <c r="AH16" s="10" t="n">
        <v>179850</v>
      </c>
      <c r="AI16" s="10" t="n">
        <f aca="false">121200+185300</f>
        <v>306500</v>
      </c>
      <c r="AJ16" s="10" t="n">
        <v>166751</v>
      </c>
      <c r="AK16" s="10"/>
      <c r="AL16" s="10" t="n">
        <f aca="false">SUMIF($C$4:$AJ$4, AL$4,$C16:$AJ16)</f>
        <v>3363917</v>
      </c>
      <c r="AM16" s="10" t="n">
        <f aca="false">SUMIF($C$4:$AJ$4, AM$4,$C16:$AJ16)</f>
        <v>1966505</v>
      </c>
      <c r="AN16" s="10" t="n">
        <f aca="false">SUMIF($C$4:$AJ$4, AN$4,$C16:$AJ16)</f>
        <v>2940570</v>
      </c>
      <c r="AO16" s="10" t="n">
        <f aca="false">SUMIF($C$4:$AJ$4, AO$4,$C16:$AJ16)</f>
        <v>101136</v>
      </c>
      <c r="AP16" s="10" t="n">
        <f aca="false">SUMIF($C$4:$AJ$4, AP$4,$C16:$AJ16)</f>
        <v>1339888</v>
      </c>
      <c r="AQ16" s="10"/>
      <c r="AR16" s="10" t="n">
        <f aca="false">SUM(C16:AJ16)</f>
        <v>9712016</v>
      </c>
    </row>
    <row r="17" customFormat="false" ht="16.25" hidden="false" customHeight="false" outlineLevel="0" collapsed="false">
      <c r="A17" s="0" t="s">
        <v>49</v>
      </c>
      <c r="B17" s="0" t="s">
        <v>46</v>
      </c>
      <c r="C17" s="10" t="n">
        <f aca="false">282474+239322</f>
        <v>521796</v>
      </c>
      <c r="D17" s="10" t="n">
        <f aca="false">362480+158447</f>
        <v>520927</v>
      </c>
      <c r="E17" s="10" t="n">
        <f aca="false">117915+217462</f>
        <v>335377</v>
      </c>
      <c r="F17" s="10" t="n">
        <v>170386</v>
      </c>
      <c r="G17" s="10" t="n">
        <f aca="false">240468+122944</f>
        <v>363412</v>
      </c>
      <c r="H17" s="10" t="n">
        <f aca="false">44383+187804</f>
        <v>232187</v>
      </c>
      <c r="I17" s="10" t="n">
        <v>214568</v>
      </c>
      <c r="J17" s="10" t="n">
        <f aca="false">30547</f>
        <v>30547</v>
      </c>
      <c r="K17" s="10" t="n">
        <f aca="false">160242+120818+21325</f>
        <v>302385</v>
      </c>
      <c r="L17" s="10"/>
      <c r="M17" s="10" t="n">
        <f aca="false">206562+116938</f>
        <v>323500</v>
      </c>
      <c r="N17" s="10"/>
      <c r="O17" s="10" t="n">
        <f aca="false">276418+105095</f>
        <v>381513</v>
      </c>
      <c r="P17" s="10" t="n">
        <f aca="false">115265+90189</f>
        <v>205454</v>
      </c>
      <c r="Q17" s="10" t="n">
        <f aca="false">94499+115764</f>
        <v>210263</v>
      </c>
      <c r="R17" s="10" t="n">
        <f aca="false">130841+91910</f>
        <v>222751</v>
      </c>
      <c r="S17" s="10" t="n">
        <f aca="false">30677+118576</f>
        <v>149253</v>
      </c>
      <c r="T17" s="10" t="n">
        <f aca="false">62927</f>
        <v>62927</v>
      </c>
      <c r="U17" s="10" t="n">
        <v>215075</v>
      </c>
      <c r="V17" s="10" t="n">
        <f aca="false">28038+86722</f>
        <v>114760</v>
      </c>
      <c r="W17" s="10" t="n">
        <f aca="false">12515+209795</f>
        <v>222310</v>
      </c>
      <c r="X17" s="10" t="n">
        <v>257403</v>
      </c>
      <c r="Y17" s="10" t="n">
        <f aca="false">200023+198225+85068+78017</f>
        <v>561333</v>
      </c>
      <c r="Z17" s="10" t="n">
        <f aca="false">155151</f>
        <v>155151</v>
      </c>
      <c r="AA17" s="10" t="n">
        <f aca="false">2921+165504</f>
        <v>168425</v>
      </c>
      <c r="AB17" s="10" t="n">
        <f aca="false">84057+64082</f>
        <v>148139</v>
      </c>
      <c r="AC17" s="10"/>
      <c r="AD17" s="10" t="n">
        <v>122738</v>
      </c>
      <c r="AE17" s="10" t="n">
        <v>139720</v>
      </c>
      <c r="AF17" s="10" t="n">
        <v>132723</v>
      </c>
      <c r="AG17" s="10" t="n">
        <v>0</v>
      </c>
      <c r="AH17" s="10" t="n">
        <v>97195</v>
      </c>
      <c r="AI17" s="10" t="n">
        <v>220601</v>
      </c>
      <c r="AJ17" s="10" t="n">
        <v>115521</v>
      </c>
      <c r="AK17" s="10"/>
      <c r="AL17" s="10" t="n">
        <f aca="false">SUMIF($C$4:$AJ$4, AL$4,$C17:$AJ17)</f>
        <v>2389200</v>
      </c>
      <c r="AM17" s="10" t="n">
        <f aca="false">SUMIF($C$4:$AJ$4, AM$4,$C17:$AJ17)</f>
        <v>1795119</v>
      </c>
      <c r="AN17" s="10" t="n">
        <f aca="false">SUMIF($C$4:$AJ$4, AN$4,$C17:$AJ17)</f>
        <v>1905523</v>
      </c>
      <c r="AO17" s="10" t="n">
        <f aca="false">SUMIF($C$4:$AJ$4, AO$4,$C17:$AJ17)</f>
        <v>122738</v>
      </c>
      <c r="AP17" s="10" t="n">
        <f aca="false">SUMIF($C$4:$AJ$4, AP$4,$C17:$AJ17)</f>
        <v>705760</v>
      </c>
      <c r="AQ17" s="10"/>
      <c r="AR17" s="10" t="n">
        <f aca="false">SUM(C17:AJ17)</f>
        <v>6918340</v>
      </c>
    </row>
    <row r="18" customFormat="false" ht="16.25" hidden="false" customHeight="false" outlineLevel="0" collapsed="false">
      <c r="A18" s="0" t="s">
        <v>50</v>
      </c>
      <c r="B18" s="0" t="s">
        <v>44</v>
      </c>
      <c r="C18" s="10"/>
      <c r="D18" s="10"/>
      <c r="E18" s="10"/>
      <c r="F18" s="10"/>
      <c r="G18" s="10"/>
      <c r="H18" s="10" t="n">
        <v>92400</v>
      </c>
      <c r="I18" s="10" t="n">
        <v>16790</v>
      </c>
      <c r="J18" s="10"/>
      <c r="K18" s="10" t="n">
        <f aca="false">107000</f>
        <v>107000</v>
      </c>
      <c r="L18" s="10"/>
      <c r="M18" s="10"/>
      <c r="N18" s="10"/>
      <c r="O18" s="10"/>
      <c r="P18" s="10" t="n">
        <v>2920</v>
      </c>
      <c r="Q18" s="10" t="n">
        <f aca="false">54500+57500</f>
        <v>112000</v>
      </c>
      <c r="R18" s="10"/>
      <c r="S18" s="10"/>
      <c r="T18" s="10" t="n">
        <f aca="false">66600+50600</f>
        <v>117200</v>
      </c>
      <c r="U18" s="10" t="n">
        <v>276622</v>
      </c>
      <c r="V18" s="10" t="n">
        <f aca="false">66000+287920</f>
        <v>353920</v>
      </c>
      <c r="W18" s="10" t="n">
        <f aca="false">109917+24245+117600+29400</f>
        <v>281162</v>
      </c>
      <c r="X18" s="10" t="n">
        <f aca="false">241172+125330</f>
        <v>366502</v>
      </c>
      <c r="Y18" s="10"/>
      <c r="Z18" s="10" t="n">
        <f aca="false">507500+144676</f>
        <v>652176</v>
      </c>
      <c r="AA18" s="10" t="n">
        <f aca="false">118770</f>
        <v>118770</v>
      </c>
      <c r="AB18" s="10" t="n">
        <f aca="false">58300+18810+112200+14850</f>
        <v>204160</v>
      </c>
      <c r="AC18" s="10" t="n">
        <f aca="false">157924+108343</f>
        <v>266267</v>
      </c>
      <c r="AD18" s="10"/>
      <c r="AE18" s="10"/>
      <c r="AF18" s="10"/>
      <c r="AG18" s="10"/>
      <c r="AH18" s="10"/>
      <c r="AI18" s="10"/>
      <c r="AJ18" s="10"/>
      <c r="AK18" s="10"/>
      <c r="AL18" s="10" t="n">
        <f aca="false">SUMIF($C$4:$AJ$4, AL$4,$C18:$AJ18)</f>
        <v>109190</v>
      </c>
      <c r="AM18" s="10" t="n">
        <f aca="false">SUMIF($C$4:$AJ$4, AM$4,$C18:$AJ18)</f>
        <v>221920</v>
      </c>
      <c r="AN18" s="10" t="n">
        <f aca="false">SUMIF($C$4:$AJ$4, AN$4,$C18:$AJ18)</f>
        <v>2370512</v>
      </c>
      <c r="AO18" s="10" t="n">
        <f aca="false">SUMIF($C$4:$AJ$4, AO$4,$C18:$AJ18)</f>
        <v>266267</v>
      </c>
      <c r="AP18" s="10" t="n">
        <f aca="false">SUMIF($C$4:$AJ$4, AP$4,$C18:$AJ18)</f>
        <v>0</v>
      </c>
      <c r="AQ18" s="10"/>
      <c r="AR18" s="10" t="n">
        <f aca="false">SUM(C18:AJ18)</f>
        <v>2967889</v>
      </c>
    </row>
    <row r="19" customFormat="false" ht="16.25" hidden="false" customHeight="false" outlineLevel="0" collapsed="false">
      <c r="A19" s="0" t="s">
        <v>50</v>
      </c>
      <c r="B19" s="0" t="s">
        <v>46</v>
      </c>
      <c r="C19" s="10"/>
      <c r="D19" s="10"/>
      <c r="E19" s="10"/>
      <c r="F19" s="10"/>
      <c r="G19" s="10"/>
      <c r="H19" s="10" t="n">
        <v>84538</v>
      </c>
      <c r="I19" s="10" t="n">
        <v>18935</v>
      </c>
      <c r="J19" s="10"/>
      <c r="K19" s="10" t="n">
        <v>66192</v>
      </c>
      <c r="L19" s="10"/>
      <c r="M19" s="10"/>
      <c r="N19" s="10"/>
      <c r="O19" s="10"/>
      <c r="P19" s="10"/>
      <c r="Q19" s="10" t="n">
        <f aca="false">29920</f>
        <v>29920</v>
      </c>
      <c r="R19" s="10"/>
      <c r="S19" s="10"/>
      <c r="T19" s="10"/>
      <c r="U19" s="10" t="n">
        <v>288656</v>
      </c>
      <c r="V19" s="10" t="n">
        <f aca="false">59167</f>
        <v>59167</v>
      </c>
      <c r="W19" s="10" t="n">
        <f aca="false">13090+238553</f>
        <v>251643</v>
      </c>
      <c r="X19" s="10" t="n">
        <v>285052</v>
      </c>
      <c r="Y19" s="10"/>
      <c r="Z19" s="10" t="n">
        <f aca="false">389759+91699</f>
        <v>481458</v>
      </c>
      <c r="AA19" s="10" t="n">
        <v>38293</v>
      </c>
      <c r="AB19" s="10" t="n">
        <f aca="false">16412+30077</f>
        <v>46489</v>
      </c>
      <c r="AC19" s="10" t="n">
        <f aca="false">166400+115695</f>
        <v>282095</v>
      </c>
      <c r="AD19" s="10"/>
      <c r="AE19" s="10"/>
      <c r="AF19" s="10"/>
      <c r="AG19" s="10"/>
      <c r="AH19" s="10"/>
      <c r="AI19" s="10"/>
      <c r="AJ19" s="10"/>
      <c r="AK19" s="10"/>
      <c r="AL19" s="10" t="n">
        <f aca="false">SUMIF($C$4:$AJ$4, AL$4,$C19:$AJ19)</f>
        <v>103473</v>
      </c>
      <c r="AM19" s="10" t="n">
        <f aca="false">SUMIF($C$4:$AJ$4, AM$4,$C19:$AJ19)</f>
        <v>96112</v>
      </c>
      <c r="AN19" s="10" t="n">
        <f aca="false">SUMIF($C$4:$AJ$4, AN$4,$C19:$AJ19)</f>
        <v>1450758</v>
      </c>
      <c r="AO19" s="10" t="n">
        <f aca="false">SUMIF($C$4:$AJ$4, AO$4,$C19:$AJ19)</f>
        <v>282095</v>
      </c>
      <c r="AP19" s="10" t="n">
        <f aca="false">SUMIF($C$4:$AJ$4, AP$4,$C19:$AJ19)</f>
        <v>0</v>
      </c>
      <c r="AQ19" s="10"/>
      <c r="AR19" s="10" t="n">
        <f aca="false">SUM(C19:AJ19)</f>
        <v>1932438</v>
      </c>
    </row>
    <row r="20" customFormat="false" ht="16.25" hidden="false" customHeight="false" outlineLevel="0" collapsed="false">
      <c r="A20" s="0" t="s">
        <v>51</v>
      </c>
      <c r="B20" s="0" t="s">
        <v>44</v>
      </c>
      <c r="C20" s="10"/>
      <c r="D20" s="10"/>
      <c r="E20" s="10"/>
      <c r="F20" s="10"/>
      <c r="G20" s="10"/>
      <c r="H20" s="10"/>
      <c r="I20" s="10"/>
      <c r="J20" s="10" t="n">
        <v>49644</v>
      </c>
      <c r="K20" s="10"/>
      <c r="L20" s="10" t="n">
        <f aca="false">49644+124379</f>
        <v>174023</v>
      </c>
      <c r="M20" s="10"/>
      <c r="N20" s="10" t="n">
        <v>49644</v>
      </c>
      <c r="O20" s="10" t="n">
        <f aca="false">42137+404328</f>
        <v>446465</v>
      </c>
      <c r="P20" s="10"/>
      <c r="Q20" s="10"/>
      <c r="R20" s="10"/>
      <c r="S20" s="10"/>
      <c r="T20" s="10" t="n">
        <f aca="false">18692+9059+191565</f>
        <v>219316</v>
      </c>
      <c r="U20" s="10"/>
      <c r="V20" s="10" t="n">
        <f aca="false">61513+24822+17764+197366+442660</f>
        <v>744125</v>
      </c>
      <c r="W20" s="10"/>
      <c r="X20" s="10"/>
      <c r="Y20" s="10" t="n">
        <v>51121</v>
      </c>
      <c r="Z20" s="10"/>
      <c r="AA20" s="10" t="n">
        <f aca="false">36382+238937</f>
        <v>275319</v>
      </c>
      <c r="AB20" s="10" t="n">
        <f aca="false">26090+17394+185642+160000</f>
        <v>389126</v>
      </c>
      <c r="AC20" s="10"/>
      <c r="AD20" s="10"/>
      <c r="AE20" s="10"/>
      <c r="AF20" s="10"/>
      <c r="AG20" s="10"/>
      <c r="AH20" s="10"/>
      <c r="AI20" s="10" t="n">
        <v>314880</v>
      </c>
      <c r="AJ20" s="10"/>
      <c r="AK20" s="10"/>
      <c r="AL20" s="10" t="n">
        <f aca="false">SUMIF($C$4:$AJ$4, AL$4,$C20:$AJ20)</f>
        <v>49644</v>
      </c>
      <c r="AM20" s="10" t="n">
        <f aca="false">SUMIF($C$4:$AJ$4, AM$4,$C20:$AJ20)</f>
        <v>670132</v>
      </c>
      <c r="AN20" s="10" t="n">
        <f aca="false">SUMIF($C$4:$AJ$4, AN$4,$C20:$AJ20)</f>
        <v>1679007</v>
      </c>
      <c r="AO20" s="10" t="n">
        <f aca="false">SUMIF($C$4:$AJ$4, AO$4,$C20:$AJ20)</f>
        <v>0</v>
      </c>
      <c r="AP20" s="10" t="n">
        <f aca="false">SUMIF($C$4:$AJ$4, AP$4,$C20:$AJ20)</f>
        <v>314880</v>
      </c>
      <c r="AQ20" s="10"/>
      <c r="AR20" s="10" t="n">
        <f aca="false">SUM(C20:AJ20)</f>
        <v>2713663</v>
      </c>
    </row>
    <row r="21" customFormat="false" ht="16.25" hidden="false" customHeight="false" outlineLevel="0" collapsed="false">
      <c r="A21" s="0" t="s">
        <v>51</v>
      </c>
      <c r="B21" s="0" t="s">
        <v>46</v>
      </c>
      <c r="C21" s="10"/>
      <c r="D21" s="10"/>
      <c r="E21" s="10"/>
      <c r="F21" s="10"/>
      <c r="G21" s="10"/>
      <c r="H21" s="10"/>
      <c r="I21" s="10"/>
      <c r="J21" s="10" t="n">
        <v>67589</v>
      </c>
      <c r="K21" s="10"/>
      <c r="L21" s="10"/>
      <c r="M21" s="10"/>
      <c r="N21" s="10"/>
      <c r="O21" s="10" t="n">
        <f aca="false">46448+3408</f>
        <v>49856</v>
      </c>
      <c r="P21" s="10"/>
      <c r="Q21" s="10"/>
      <c r="R21" s="10"/>
      <c r="S21" s="10"/>
      <c r="T21" s="10"/>
      <c r="U21" s="10"/>
      <c r="V21" s="10" t="n">
        <f aca="false">21744+206907</f>
        <v>228651</v>
      </c>
      <c r="W21" s="10"/>
      <c r="X21" s="10"/>
      <c r="Y21" s="10"/>
      <c r="Z21" s="10"/>
      <c r="AA21" s="10"/>
      <c r="AB21" s="10" t="n">
        <v>0</v>
      </c>
      <c r="AC21" s="10"/>
      <c r="AD21" s="10"/>
      <c r="AE21" s="10"/>
      <c r="AF21" s="10"/>
      <c r="AG21" s="10"/>
      <c r="AH21" s="10"/>
      <c r="AI21" s="10"/>
      <c r="AJ21" s="10"/>
      <c r="AK21" s="10"/>
      <c r="AL21" s="10" t="n">
        <f aca="false">SUMIF($C$4:$AJ$4, AL$4,$C21:$AJ21)</f>
        <v>67589</v>
      </c>
      <c r="AM21" s="10" t="n">
        <f aca="false">SUMIF($C$4:$AJ$4, AM$4,$C21:$AJ21)</f>
        <v>49856</v>
      </c>
      <c r="AN21" s="10" t="n">
        <f aca="false">SUMIF($C$4:$AJ$4, AN$4,$C21:$AJ21)</f>
        <v>228651</v>
      </c>
      <c r="AO21" s="10" t="n">
        <f aca="false">SUMIF($C$4:$AJ$4, AO$4,$C21:$AJ21)</f>
        <v>0</v>
      </c>
      <c r="AP21" s="10" t="n">
        <f aca="false">SUMIF($C$4:$AJ$4, AP$4,$C21:$AJ21)</f>
        <v>0</v>
      </c>
      <c r="AQ21" s="10"/>
      <c r="AR21" s="10" t="n">
        <f aca="false">SUM(C21:AJ21)</f>
        <v>346096</v>
      </c>
    </row>
    <row r="22" customFormat="false" ht="12.75" hidden="false" customHeight="false" outlineLevel="0" collapsed="false">
      <c r="A22" s="0" t="s">
        <v>52</v>
      </c>
      <c r="B22" s="0" t="s">
        <v>44</v>
      </c>
      <c r="C22" s="10" t="n">
        <v>1413633</v>
      </c>
      <c r="D22" s="10" t="n">
        <v>889965</v>
      </c>
      <c r="E22" s="10" t="n">
        <v>917522</v>
      </c>
      <c r="F22" s="10" t="n">
        <v>981901</v>
      </c>
      <c r="G22" s="10" t="n">
        <v>640020</v>
      </c>
      <c r="H22" s="10" t="n">
        <v>1013751</v>
      </c>
      <c r="I22" s="10" t="n">
        <v>1344533</v>
      </c>
      <c r="J22" s="10" t="n">
        <v>149527</v>
      </c>
      <c r="K22" s="10" t="n">
        <v>923724</v>
      </c>
      <c r="L22" s="10" t="n">
        <v>218747</v>
      </c>
      <c r="M22" s="10" t="n">
        <v>483378</v>
      </c>
      <c r="N22" s="10" t="n">
        <v>217023</v>
      </c>
      <c r="O22" s="10" t="n">
        <v>1595915</v>
      </c>
      <c r="P22" s="10" t="n">
        <v>1376686</v>
      </c>
      <c r="Q22" s="10" t="n">
        <v>1698754</v>
      </c>
      <c r="R22" s="10" t="n">
        <v>334338</v>
      </c>
      <c r="S22" s="10" t="n">
        <v>660892</v>
      </c>
      <c r="T22" s="10" t="n">
        <v>685157</v>
      </c>
      <c r="U22" s="10" t="n">
        <f aca="false">157532+50347</f>
        <v>207879</v>
      </c>
      <c r="V22" s="10" t="n">
        <v>989128</v>
      </c>
      <c r="W22" s="10" t="n">
        <v>1422035</v>
      </c>
      <c r="X22" s="10" t="n">
        <v>1189685</v>
      </c>
      <c r="Y22" s="10" t="n">
        <v>789244</v>
      </c>
      <c r="Z22" s="10" t="n">
        <v>660292</v>
      </c>
      <c r="AA22" s="10" t="n">
        <v>598686</v>
      </c>
      <c r="AB22" s="10" t="n">
        <v>710750</v>
      </c>
      <c r="AC22" s="10" t="n">
        <v>440711</v>
      </c>
      <c r="AD22" s="10" t="n">
        <v>349067</v>
      </c>
      <c r="AE22" s="10" t="n">
        <v>1121150</v>
      </c>
      <c r="AF22" s="10" t="n">
        <v>529374</v>
      </c>
      <c r="AG22" s="10" t="n">
        <v>1031907</v>
      </c>
      <c r="AH22" s="10" t="n">
        <v>1331609</v>
      </c>
      <c r="AI22" s="10" t="n">
        <v>1540745</v>
      </c>
      <c r="AJ22" s="10" t="n">
        <v>1252861</v>
      </c>
      <c r="AK22" s="10"/>
      <c r="AL22" s="10" t="n">
        <f aca="false">SUMIF($C$4:$AJ$4, AL$4,$C22:$AJ22)</f>
        <v>7350852</v>
      </c>
      <c r="AM22" s="10" t="n">
        <f aca="false">SUMIF($C$4:$AJ$4, AM$4,$C22:$AJ22)</f>
        <v>7509457</v>
      </c>
      <c r="AN22" s="10" t="n">
        <f aca="false">SUMIF($C$4:$AJ$4, AN$4,$C22:$AJ22)</f>
        <v>7252856</v>
      </c>
      <c r="AO22" s="10" t="n">
        <f aca="false">SUMIF($C$4:$AJ$4, AO$4,$C22:$AJ22)</f>
        <v>789778</v>
      </c>
      <c r="AP22" s="10" t="n">
        <f aca="false">SUMIF($C$4:$AJ$4, AP$4,$C22:$AJ22)</f>
        <v>6807646</v>
      </c>
      <c r="AQ22" s="10"/>
      <c r="AR22" s="10" t="n">
        <f aca="false">SUM(C22:AJ22)</f>
        <v>29710589</v>
      </c>
    </row>
    <row r="23" customFormat="false" ht="12.75" hidden="false" customHeight="false" outlineLevel="0" collapsed="false">
      <c r="A23" s="0" t="s">
        <v>52</v>
      </c>
      <c r="B23" s="0" t="s">
        <v>46</v>
      </c>
      <c r="C23" s="10" t="n">
        <v>2325777</v>
      </c>
      <c r="D23" s="10" t="n">
        <v>1342760</v>
      </c>
      <c r="E23" s="10" t="n">
        <v>859397</v>
      </c>
      <c r="F23" s="10" t="n">
        <v>1409470</v>
      </c>
      <c r="G23" s="10" t="n">
        <v>1180107</v>
      </c>
      <c r="H23" s="10" t="n">
        <v>1448372</v>
      </c>
      <c r="I23" s="10" t="n">
        <v>1607256</v>
      </c>
      <c r="J23" s="10" t="n">
        <v>669028</v>
      </c>
      <c r="K23" s="10" t="n">
        <v>1309353</v>
      </c>
      <c r="L23" s="10" t="n">
        <v>111267</v>
      </c>
      <c r="M23" s="10" t="n">
        <v>886523</v>
      </c>
      <c r="N23" s="10" t="n">
        <v>84138</v>
      </c>
      <c r="O23" s="10" t="n">
        <v>1862413</v>
      </c>
      <c r="P23" s="10" t="n">
        <v>1753230</v>
      </c>
      <c r="Q23" s="10" t="n">
        <v>1874153</v>
      </c>
      <c r="R23" s="10" t="n">
        <v>725927</v>
      </c>
      <c r="S23" s="10" t="n">
        <v>1246861</v>
      </c>
      <c r="T23" s="10" t="n">
        <v>615769</v>
      </c>
      <c r="U23" s="10" t="n">
        <v>483916</v>
      </c>
      <c r="V23" s="10" t="n">
        <v>611405</v>
      </c>
      <c r="W23" s="10" t="n">
        <v>1297143</v>
      </c>
      <c r="X23" s="10" t="n">
        <v>1766638</v>
      </c>
      <c r="Y23" s="10" t="n">
        <v>1136744</v>
      </c>
      <c r="Z23" s="10" t="n">
        <v>1087220</v>
      </c>
      <c r="AA23" s="10" t="n">
        <v>1390008</v>
      </c>
      <c r="AB23" s="10" t="n">
        <v>966055</v>
      </c>
      <c r="AC23" s="10" t="n">
        <v>436900</v>
      </c>
      <c r="AD23" s="10" t="n">
        <v>255619</v>
      </c>
      <c r="AE23" s="10" t="n">
        <v>2075137</v>
      </c>
      <c r="AF23" s="10" t="n">
        <v>881133</v>
      </c>
      <c r="AG23" s="10" t="n">
        <v>1733856</v>
      </c>
      <c r="AH23" s="10" t="n">
        <v>1485525</v>
      </c>
      <c r="AI23" s="10" t="n">
        <v>1869351</v>
      </c>
      <c r="AJ23" s="10" t="n">
        <v>1502314</v>
      </c>
      <c r="AK23" s="10"/>
      <c r="AL23" s="10" t="n">
        <f aca="false">SUMIF($C$4:$AJ$4, AL$4,$C23:$AJ23)</f>
        <v>10842167</v>
      </c>
      <c r="AM23" s="10" t="n">
        <f aca="false">SUMIF($C$4:$AJ$4, AM$4,$C23:$AJ23)</f>
        <v>9853865</v>
      </c>
      <c r="AN23" s="10" t="n">
        <f aca="false">SUMIF($C$4:$AJ$4, AN$4,$C23:$AJ23)</f>
        <v>9354898</v>
      </c>
      <c r="AO23" s="10" t="n">
        <f aca="false">SUMIF($C$4:$AJ$4, AO$4,$C23:$AJ23)</f>
        <v>692519</v>
      </c>
      <c r="AP23" s="10" t="n">
        <f aca="false">SUMIF($C$4:$AJ$4, AP$4,$C23:$AJ23)</f>
        <v>9547316</v>
      </c>
      <c r="AQ23" s="10"/>
      <c r="AR23" s="10" t="n">
        <f aca="false">SUM(C23:AJ23)</f>
        <v>40290765</v>
      </c>
    </row>
    <row r="24" customFormat="false" ht="12.75" hidden="false" customHeight="false" outlineLevel="0" collapsed="false">
      <c r="A24" s="0" t="s">
        <v>53</v>
      </c>
      <c r="B24" s="0" t="s">
        <v>46</v>
      </c>
      <c r="C24" s="10" t="n">
        <v>52961</v>
      </c>
      <c r="D24" s="10" t="n">
        <v>13125</v>
      </c>
      <c r="E24" s="10" t="n">
        <v>19803</v>
      </c>
      <c r="F24" s="10" t="n">
        <v>18520</v>
      </c>
      <c r="G24" s="10" t="n">
        <v>21000</v>
      </c>
      <c r="H24" s="10" t="n">
        <v>19496</v>
      </c>
      <c r="I24" s="10" t="n">
        <v>18564</v>
      </c>
      <c r="J24" s="10" t="n">
        <v>1795</v>
      </c>
      <c r="K24" s="10" t="n">
        <v>23377</v>
      </c>
      <c r="L24" s="10"/>
      <c r="M24" s="10" t="n">
        <v>12803</v>
      </c>
      <c r="N24" s="10" t="n">
        <v>139</v>
      </c>
      <c r="O24" s="10" t="n">
        <v>38950</v>
      </c>
      <c r="P24" s="10" t="n">
        <v>21556</v>
      </c>
      <c r="Q24" s="10" t="n">
        <v>46078</v>
      </c>
      <c r="R24" s="10" t="n">
        <v>18958</v>
      </c>
      <c r="S24" s="10" t="n">
        <v>20305</v>
      </c>
      <c r="T24" s="10" t="n">
        <v>7532</v>
      </c>
      <c r="U24" s="10" t="n">
        <v>5930</v>
      </c>
      <c r="V24" s="10" t="n">
        <v>6296</v>
      </c>
      <c r="W24" s="10" t="n">
        <v>36384</v>
      </c>
      <c r="X24" s="10" t="n">
        <v>50233</v>
      </c>
      <c r="Y24" s="10" t="n">
        <v>21765</v>
      </c>
      <c r="Z24" s="10" t="n">
        <v>25894</v>
      </c>
      <c r="AA24" s="10" t="n">
        <v>15430</v>
      </c>
      <c r="AB24" s="10" t="n">
        <v>18655</v>
      </c>
      <c r="AC24" s="10" t="n">
        <v>31113</v>
      </c>
      <c r="AD24" s="10" t="n">
        <v>5438</v>
      </c>
      <c r="AE24" s="10" t="n">
        <v>20582</v>
      </c>
      <c r="AF24" s="10" t="n">
        <v>21624</v>
      </c>
      <c r="AG24" s="10" t="n">
        <v>22787</v>
      </c>
      <c r="AH24" s="10" t="n">
        <v>22211</v>
      </c>
      <c r="AI24" s="10" t="n">
        <v>33544</v>
      </c>
      <c r="AJ24" s="10" t="n">
        <v>23499</v>
      </c>
      <c r="AK24" s="10"/>
      <c r="AL24" s="10" t="n">
        <f aca="false">SUMIF($C$4:$AJ$4, AL$4,$C24:$AJ24)</f>
        <v>165264</v>
      </c>
      <c r="AM24" s="10" t="n">
        <f aca="false">SUMIF($C$4:$AJ$4, AM$4,$C24:$AJ24)</f>
        <v>182166</v>
      </c>
      <c r="AN24" s="10" t="n">
        <f aca="false">SUMIF($C$4:$AJ$4, AN$4,$C24:$AJ24)</f>
        <v>188119</v>
      </c>
      <c r="AO24" s="10" t="n">
        <f aca="false">SUMIF($C$4:$AJ$4, AO$4,$C24:$AJ24)</f>
        <v>36551</v>
      </c>
      <c r="AP24" s="10" t="n">
        <f aca="false">SUMIF($C$4:$AJ$4, AP$4,$C24:$AJ24)</f>
        <v>144247</v>
      </c>
      <c r="AQ24" s="10"/>
      <c r="AR24" s="10" t="n">
        <f aca="false">SUM(C24:AJ24)</f>
        <v>716347</v>
      </c>
    </row>
    <row r="27" customFormat="false" ht="12.8" hidden="false" customHeight="false" outlineLevel="0" collapsed="false">
      <c r="K27" s="0" t="s">
        <v>54</v>
      </c>
    </row>
    <row r="28" s="11" customFormat="true" ht="17.35" hidden="false" customHeight="false" outlineLevel="0" collapsed="false">
      <c r="A28" s="8" t="s">
        <v>55</v>
      </c>
      <c r="AV28" s="0"/>
      <c r="AW28" s="0"/>
    </row>
    <row r="30" customFormat="false" ht="12.75" hidden="false" customHeight="false" outlineLevel="0" collapsed="false">
      <c r="A30" s="0" t="s">
        <v>40</v>
      </c>
      <c r="B30" s="0" t="s">
        <v>44</v>
      </c>
      <c r="C30" s="10" t="n">
        <f aca="false">SUMIF($B$10:$B$23, $B30, C$10:C$23)</f>
        <v>7448576</v>
      </c>
      <c r="D30" s="10" t="n">
        <f aca="false">SUMIF($B$10:$B$23, $B30, D$10:D$23)</f>
        <v>4804322</v>
      </c>
      <c r="E30" s="10" t="n">
        <f aca="false">SUMIF($B$10:$B$23, $B30, E$10:E$23)</f>
        <v>4591994</v>
      </c>
      <c r="F30" s="10" t="n">
        <f aca="false">SUMIF($B$10:$B$23, $B30, F$10:F$23)</f>
        <v>4431581</v>
      </c>
      <c r="G30" s="10" t="n">
        <f aca="false">SUMIF($B$10:$B$23, $B30, G$10:G$23)</f>
        <v>2755435</v>
      </c>
      <c r="H30" s="10" t="n">
        <f aca="false">SUMIF($B$10:$B$23, $B30, H$10:H$23)</f>
        <v>4971977</v>
      </c>
      <c r="I30" s="10" t="n">
        <f aca="false">SUMIF($B$10:$B$23, $B30, I$10:I$23)</f>
        <v>4454246</v>
      </c>
      <c r="J30" s="10" t="n">
        <f aca="false">SUMIF($B$10:$B$23, $B30, J$10:J$23)</f>
        <v>1146371</v>
      </c>
      <c r="K30" s="10" t="n">
        <f aca="false">SUMIF($B$10:$B$23, $B30, K$10:K$23)</f>
        <v>4057453</v>
      </c>
      <c r="L30" s="10" t="n">
        <f aca="false">SUMIF($B$10:$B$23, $B30, L$10:L$23)</f>
        <v>1507787</v>
      </c>
      <c r="M30" s="10" t="n">
        <f aca="false">SUMIF($B$10:$B$23, $B30, M$10:M$23)</f>
        <v>1715000</v>
      </c>
      <c r="N30" s="10" t="n">
        <f aca="false">SUMIF($B$10:$B$23, $B30, N$10:N$23)</f>
        <v>802507</v>
      </c>
      <c r="O30" s="10" t="n">
        <f aca="false">SUMIF($B$10:$B$23, $B30, O$10:O$23)</f>
        <v>5367869</v>
      </c>
      <c r="P30" s="10" t="n">
        <f aca="false">SUMIF($B$10:$B$23, $B30, P$10:P$23)</f>
        <v>3416028</v>
      </c>
      <c r="Q30" s="10" t="n">
        <f aca="false">SUMIF($B$10:$B$23, $B30, Q$10:Q$23)</f>
        <v>5543738</v>
      </c>
      <c r="R30" s="10" t="n">
        <f aca="false">SUMIF($B$10:$B$23, $B30, R$10:R$23)</f>
        <v>1751577</v>
      </c>
      <c r="S30" s="10" t="n">
        <f aca="false">SUMIF($B$10:$B$23, $B30, S$10:S$23)</f>
        <v>3508057</v>
      </c>
      <c r="T30" s="10" t="n">
        <f aca="false">SUMIF($B$10:$B$23, $B30, T$10:T$23)</f>
        <v>3740412</v>
      </c>
      <c r="U30" s="10" t="n">
        <f aca="false">SUMIF($B$10:$B$23, $B30, U$10:U$23)</f>
        <v>1188163</v>
      </c>
      <c r="V30" s="10" t="n">
        <f aca="false">SUMIF($B$10:$B$23, $B30, V$10:V$23)</f>
        <v>6737920</v>
      </c>
      <c r="W30" s="10" t="n">
        <f aca="false">SUMIF($B$10:$B$23, $B30, W$10:W$23)</f>
        <v>4677400</v>
      </c>
      <c r="X30" s="10" t="n">
        <f aca="false">SUMIF($B$10:$B$23, $B30, X$10:X$23)</f>
        <v>4871496</v>
      </c>
      <c r="Y30" s="10" t="n">
        <f aca="false">SUMIF($B$10:$B$23, $B30, Y$10:Y$23)</f>
        <v>3644604</v>
      </c>
      <c r="Z30" s="10" t="n">
        <f aca="false">SUMIF($B$10:$B$23, $B30, Z$10:Z$23)</f>
        <v>3201042</v>
      </c>
      <c r="AA30" s="10" t="n">
        <f aca="false">SUMIF($B$10:$B$23, $B30, AA$10:AA$23)</f>
        <v>3432203</v>
      </c>
      <c r="AB30" s="10" t="n">
        <f aca="false">SUMIF($B$10:$B$23, $B30, AB$10:AB$23)</f>
        <v>4001546</v>
      </c>
      <c r="AC30" s="10" t="n">
        <f aca="false">SUMIF($B$10:$B$23, $B30, AC$10:AC$23)</f>
        <v>1056408</v>
      </c>
      <c r="AD30" s="10" t="n">
        <f aca="false">SUMIF($B$10:$B$23, $B30, AD$10:AD$23)</f>
        <v>1086832</v>
      </c>
      <c r="AE30" s="10" t="n">
        <f aca="false">SUMIF($B$10:$B$23, $B30, AE$10:AE$23)</f>
        <v>3377712</v>
      </c>
      <c r="AF30" s="10" t="n">
        <f aca="false">SUMIF($B$10:$B$23, $B30, AF$10:AF$23)</f>
        <v>2644668</v>
      </c>
      <c r="AG30" s="10" t="n">
        <f aca="false">SUMIF($B$10:$B$23, $B30, AG$10:AG$23)</f>
        <v>3517326</v>
      </c>
      <c r="AH30" s="10" t="n">
        <f aca="false">SUMIF($B$10:$B$23, $B30, AH$10:AH$23)</f>
        <v>4986884</v>
      </c>
      <c r="AI30" s="10" t="n">
        <f aca="false">SUMIF($B$10:$B$23, $B30, AI$10:AI$23)</f>
        <v>7469159</v>
      </c>
      <c r="AJ30" s="10" t="n">
        <f aca="false">SUMIF($B$10:$B$23, $B30, AJ$10:AJ$23)</f>
        <v>4877447</v>
      </c>
      <c r="AK30" s="10"/>
      <c r="AL30" s="10" t="n">
        <f aca="false">SUMIF($B$10:$B$23, $B30, AL$10:AL$23)</f>
        <v>34604502</v>
      </c>
      <c r="AM30" s="10" t="n">
        <f aca="false">SUMIF($B$10:$B$23, $B30, AM$10:AM$23)</f>
        <v>27670016</v>
      </c>
      <c r="AN30" s="10" t="n">
        <f aca="false">SUMIF($B$10:$B$23, $B30, AN$10:AN$23)</f>
        <v>35494786</v>
      </c>
      <c r="AO30" s="10" t="n">
        <f aca="false">SUMIF($B$10:$B$23, $B30, AO$10:AO$23)</f>
        <v>2143240</v>
      </c>
      <c r="AP30" s="10" t="n">
        <f aca="false">SUMIF($B$10:$B$23, $B30, AP$10:AP$23)</f>
        <v>26873196</v>
      </c>
      <c r="AQ30" s="10"/>
      <c r="AR30" s="10" t="n">
        <f aca="false">SUMIF($B$10:$B$23, $B30, AR$10:AR$23)</f>
        <v>126785740</v>
      </c>
    </row>
    <row r="31" customFormat="false" ht="12.75" hidden="false" customHeight="false" outlineLevel="0" collapsed="false">
      <c r="A31" s="0" t="s">
        <v>40</v>
      </c>
      <c r="B31" s="0" t="s">
        <v>46</v>
      </c>
      <c r="C31" s="10" t="n">
        <f aca="false">SUMIF($B$10:$B$23, $B31, C$10:C$23)</f>
        <v>7826164</v>
      </c>
      <c r="D31" s="10" t="n">
        <f aca="false">SUMIF($B$10:$B$23, $B31, D$10:D$23)</f>
        <v>4008806</v>
      </c>
      <c r="E31" s="10" t="n">
        <f aca="false">SUMIF($B$10:$B$23, $B31, E$10:E$23)</f>
        <v>4426049</v>
      </c>
      <c r="F31" s="10" t="n">
        <f aca="false">SUMIF($B$10:$B$23, $B31, F$10:F$23)</f>
        <v>4463092</v>
      </c>
      <c r="G31" s="10" t="n">
        <f aca="false">SUMIF($B$10:$B$23, $B31, G$10:G$23)</f>
        <v>1970355</v>
      </c>
      <c r="H31" s="10" t="n">
        <f aca="false">SUMIF($B$10:$B$23, $B31, H$10:H$23)</f>
        <v>4564183</v>
      </c>
      <c r="I31" s="10" t="n">
        <f aca="false">SUMIF($B$10:$B$23, $B31, I$10:I$23)</f>
        <v>4048542</v>
      </c>
      <c r="J31" s="10" t="n">
        <f aca="false">SUMIF($B$10:$B$23, $B31, J$10:J$23)</f>
        <v>969121</v>
      </c>
      <c r="K31" s="10" t="n">
        <f aca="false">SUMIF($B$10:$B$23, $B31, K$10:K$23)</f>
        <v>4327597</v>
      </c>
      <c r="L31" s="10" t="n">
        <f aca="false">SUMIF($B$10:$B$23, $B31, L$10:L$23)</f>
        <v>171613</v>
      </c>
      <c r="M31" s="10" t="n">
        <f aca="false">SUMIF($B$10:$B$23, $B31, M$10:M$23)</f>
        <v>2611325</v>
      </c>
      <c r="N31" s="10" t="n">
        <f aca="false">SUMIF($B$10:$B$23, $B31, N$10:N$23)</f>
        <v>185814</v>
      </c>
      <c r="O31" s="10" t="n">
        <f aca="false">SUMIF($B$10:$B$23, $B31, O$10:O$23)</f>
        <v>6234881</v>
      </c>
      <c r="P31" s="10" t="n">
        <f aca="false">SUMIF($B$10:$B$23, $B31, P$10:P$23)</f>
        <v>4947822</v>
      </c>
      <c r="Q31" s="10" t="n">
        <f aca="false">SUMIF($B$10:$B$23, $B31, Q$10:Q$23)</f>
        <v>6693676</v>
      </c>
      <c r="R31" s="10" t="n">
        <f aca="false">SUMIF($B$10:$B$23, $B31, R$10:R$23)</f>
        <v>3113465</v>
      </c>
      <c r="S31" s="10" t="n">
        <f aca="false">SUMIF($B$10:$B$23, $B31, S$10:S$23)</f>
        <v>4575381</v>
      </c>
      <c r="T31" s="10" t="n">
        <f aca="false">SUMIF($B$10:$B$23, $B31, T$10:T$23)</f>
        <v>1994525</v>
      </c>
      <c r="U31" s="10" t="n">
        <f aca="false">SUMIF($B$10:$B$23, $B31, U$10:U$23)</f>
        <v>1465364</v>
      </c>
      <c r="V31" s="10" t="n">
        <f aca="false">SUMIF($B$10:$B$23, $B31, V$10:V$23)</f>
        <v>2037171</v>
      </c>
      <c r="W31" s="10" t="n">
        <f aca="false">SUMIF($B$10:$B$23, $B31, W$10:W$23)</f>
        <v>4528810</v>
      </c>
      <c r="X31" s="10" t="n">
        <f aca="false">SUMIF($B$10:$B$23, $B31, X$10:X$23)</f>
        <v>6477555</v>
      </c>
      <c r="Y31" s="10" t="n">
        <f aca="false">SUMIF($B$10:$B$23, $B31, Y$10:Y$23)</f>
        <v>4520247</v>
      </c>
      <c r="Z31" s="10" t="n">
        <f aca="false">SUMIF($B$10:$B$23, $B31, Z$10:Z$23)</f>
        <v>3974680</v>
      </c>
      <c r="AA31" s="10" t="n">
        <f aca="false">SUMIF($B$10:$B$23, $B31, AA$10:AA$23)</f>
        <v>3205026</v>
      </c>
      <c r="AB31" s="10" t="n">
        <f aca="false">SUMIF($B$10:$B$23, $B31, AB$10:AB$23)</f>
        <v>2990214</v>
      </c>
      <c r="AC31" s="10" t="n">
        <f aca="false">SUMIF($B$10:$B$23, $B31, AC$10:AC$23)</f>
        <v>1281726</v>
      </c>
      <c r="AD31" s="10" t="n">
        <f aca="false">SUMIF($B$10:$B$23, $B31, AD$10:AD$23)</f>
        <v>1314369</v>
      </c>
      <c r="AE31" s="10" t="n">
        <f aca="false">SUMIF($B$10:$B$23, $B31, AE$10:AE$23)</f>
        <v>5685376</v>
      </c>
      <c r="AF31" s="10" t="n">
        <f aca="false">SUMIF($B$10:$B$23, $B31, AF$10:AF$23)</f>
        <v>3419572</v>
      </c>
      <c r="AG31" s="10" t="n">
        <f aca="false">SUMIF($B$10:$B$23, $B31, AG$10:AG$23)</f>
        <v>5317846</v>
      </c>
      <c r="AH31" s="10" t="n">
        <f aca="false">SUMIF($B$10:$B$23, $B31, AH$10:AH$23)</f>
        <v>4941621</v>
      </c>
      <c r="AI31" s="10" t="n">
        <f aca="false">SUMIF($B$10:$B$23, $B31, AI$10:AI$23)</f>
        <v>7123799</v>
      </c>
      <c r="AJ31" s="10" t="n">
        <f aca="false">SUMIF($B$10:$B$23, $B31, AJ$10:AJ$23)</f>
        <v>5318526</v>
      </c>
      <c r="AK31" s="10"/>
      <c r="AL31" s="10" t="n">
        <f aca="false">SUMIF($B$10:$B$23, $B31, AL$10:AL$23)</f>
        <v>32276312</v>
      </c>
      <c r="AM31" s="10" t="n">
        <f aca="false">SUMIF($B$10:$B$23, $B31, AM$10:AM$23)</f>
        <v>32861574</v>
      </c>
      <c r="AN31" s="10" t="n">
        <f aca="false">SUMIF($B$10:$B$23, $B31, AN$10:AN$23)</f>
        <v>31193592</v>
      </c>
      <c r="AO31" s="10" t="n">
        <f aca="false">SUMIF($B$10:$B$23, $B31, AO$10:AO$23)</f>
        <v>2596095</v>
      </c>
      <c r="AP31" s="10" t="n">
        <f aca="false">SUMIF($B$10:$B$23, $B31, AP$10:AP$23)</f>
        <v>31806740</v>
      </c>
      <c r="AQ31" s="10"/>
      <c r="AR31" s="10" t="n">
        <f aca="false">SUMIF($B$10:$B$23, $B31, AR$10:AR$23)</f>
        <v>130734313</v>
      </c>
    </row>
    <row r="32" customFormat="false" ht="12.75" hidden="false" customHeight="false" outlineLevel="0" collapsed="false"/>
    <row r="33" customFormat="false" ht="16.25" hidden="false" customHeight="false" outlineLevel="0" collapsed="false">
      <c r="A33" s="0" t="s">
        <v>43</v>
      </c>
      <c r="B33" s="0" t="s">
        <v>56</v>
      </c>
      <c r="C33" s="12" t="n">
        <f aca="false">SUMIFS(C$10:C$23, $A$10:$A$23,$A33, $B$10:$B$23, "Actual")/SUMIFS(C$10:C$23, $A$10:$A$23,$A33, $B$10:$B$23, "Budgeted")</f>
        <v>0.933497982483613</v>
      </c>
      <c r="D33" s="12" t="n">
        <f aca="false">SUMIFS(D$10:D$23, $A$10:$A$23,$A33, $B$10:$B$23, "Actual")/SUMIFS(D$10:D$23, $A$10:$A$23,$A33, $B$10:$B$23, "Budgeted")</f>
        <v>0.361176695929464</v>
      </c>
      <c r="E33" s="12" t="n">
        <f aca="false">SUMIFS(E$10:E$23, $A$10:$A$23,$A33, $B$10:$B$23, "Actual")/SUMIFS(E$10:E$23, $A$10:$A$23,$A33, $B$10:$B$23, "Budgeted")</f>
        <v>0.664533876587864</v>
      </c>
      <c r="F33" s="12" t="n">
        <f aca="false">SUMIFS(F$10:F$23, $A$10:$A$23,$A33, $B$10:$B$23, "Actual")/SUMIFS(F$10:F$23, $A$10:$A$23,$A33, $B$10:$B$23, "Budgeted")</f>
        <v>0.958489540233148</v>
      </c>
      <c r="G33" s="12" t="n">
        <f aca="false">SUMIFS(G$10:G$23, $A$10:$A$23,$A33, $B$10:$B$23, "Actual")/SUMIFS(G$10:G$23, $A$10:$A$23,$A33, $B$10:$B$23, "Budgeted")</f>
        <v>0</v>
      </c>
      <c r="H33" s="12" t="n">
        <f aca="false">SUMIFS(H$10:H$23, $A$10:$A$23,$A33, $B$10:$B$23, "Actual")/SUMIFS(H$10:H$23, $A$10:$A$23,$A33, $B$10:$B$23, "Budgeted")</f>
        <v>0.585374764653205</v>
      </c>
      <c r="I33" s="12" t="n">
        <f aca="false">SUMIFS(I$10:I$23, $A$10:$A$23,$A33, $B$10:$B$23, "Actual")/SUMIFS(I$10:I$23, $A$10:$A$23,$A33, $B$10:$B$23, "Budgeted")</f>
        <v>0.675033419301574</v>
      </c>
      <c r="J33" s="12" t="e">
        <f aca="false">SUMIFS(J$10:J$23, $A$10:$A$23,$A33, $B$10:$B$23, "Actual")/SUMIFS(J$10:J$23, $A$10:$A$23,$A33, $B$10:$B$23, "Budgeted")</f>
        <v>#DIV/0!</v>
      </c>
      <c r="K33" s="12" t="n">
        <f aca="false">SUMIFS(K$10:K$23, $A$10:$A$23,$A33, $B$10:$B$23, "Actual")/SUMIFS(K$10:K$23, $A$10:$A$23,$A33, $B$10:$B$23, "Budgeted")</f>
        <v>0.446059849528705</v>
      </c>
      <c r="L33" s="12" t="n">
        <f aca="false">SUMIFS(L$10:L$23, $A$10:$A$23,$A33, $B$10:$B$23, "Actual")/SUMIFS(L$10:L$23, $A$10:$A$23,$A33, $B$10:$B$23, "Budgeted")</f>
        <v>0</v>
      </c>
      <c r="M33" s="12" t="n">
        <f aca="false">SUMIFS(M$10:M$23, $A$10:$A$23,$A33, $B$10:$B$23, "Actual")/SUMIFS(M$10:M$23, $A$10:$A$23,$A33, $B$10:$B$23, "Budgeted")</f>
        <v>1.39954563316632</v>
      </c>
      <c r="N33" s="12" t="e">
        <f aca="false">SUMIFS(N$10:N$23, $A$10:$A$23,$A33, $B$10:$B$23, "Actual")/SUMIFS(N$10:N$23, $A$10:$A$23,$A33, $B$10:$B$23, "Budgeted")</f>
        <v>#DIV/0!</v>
      </c>
      <c r="O33" s="12" t="n">
        <f aca="false">SUMIFS(O$10:O$23, $A$10:$A$23,$A33, $B$10:$B$23, "Actual")/SUMIFS(O$10:O$23, $A$10:$A$23,$A33, $B$10:$B$23, "Budgeted")</f>
        <v>1.37053183602176</v>
      </c>
      <c r="P33" s="12" t="n">
        <f aca="false">SUMIFS(P$10:P$23, $A$10:$A$23,$A33, $B$10:$B$23, "Actual")/SUMIFS(P$10:P$23, $A$10:$A$23,$A33, $B$10:$B$23, "Budgeted")</f>
        <v>1.39935329121</v>
      </c>
      <c r="Q33" s="12" t="n">
        <f aca="false">SUMIFS(Q$10:Q$23, $A$10:$A$23,$A33, $B$10:$B$23, "Actual")/SUMIFS(Q$10:Q$23, $A$10:$A$23,$A33, $B$10:$B$23, "Budgeted")</f>
        <v>1.29144521170999</v>
      </c>
      <c r="R33" s="12" t="n">
        <f aca="false">SUMIFS(R$10:R$23, $A$10:$A$23,$A33, $B$10:$B$23, "Actual")/SUMIFS(R$10:R$23, $A$10:$A$23,$A33, $B$10:$B$23, "Budgeted")</f>
        <v>1.37974285614967</v>
      </c>
      <c r="S33" s="12" t="n">
        <f aca="false">SUMIFS(S$10:S$23, $A$10:$A$23,$A33, $B$10:$B$23, "Actual")/SUMIFS(S$10:S$23, $A$10:$A$23,$A33, $B$10:$B$23, "Budgeted")</f>
        <v>0.813507394767671</v>
      </c>
      <c r="T33" s="12" t="n">
        <f aca="false">SUMIFS(T$10:T$23, $A$10:$A$23,$A33, $B$10:$B$23, "Actual")/SUMIFS(T$10:T$23, $A$10:$A$23,$A33, $B$10:$B$23, "Budgeted")</f>
        <v>0.238410130914192</v>
      </c>
      <c r="U33" s="12" t="e">
        <f aca="false">SUMIFS(U$10:U$23, $A$10:$A$23,$A33, $B$10:$B$23, "Actual")/SUMIFS(U$10:U$23, $A$10:$A$23,$A33, $B$10:$B$23, "Budgeted")</f>
        <v>#DIV/0!</v>
      </c>
      <c r="V33" s="12" t="n">
        <f aca="false">SUMIFS(V$10:V$23, $A$10:$A$23,$A33, $B$10:$B$23, "Actual")/SUMIFS(V$10:V$23, $A$10:$A$23,$A33, $B$10:$B$23, "Budgeted")</f>
        <v>0.0814009249203812</v>
      </c>
      <c r="W33" s="12" t="n">
        <f aca="false">SUMIFS(W$10:W$23, $A$10:$A$23,$A33, $B$10:$B$23, "Actual")/SUMIFS(W$10:W$23, $A$10:$A$23,$A33, $B$10:$B$23, "Budgeted")</f>
        <v>0.888093940537242</v>
      </c>
      <c r="X33" s="12" t="n">
        <f aca="false">SUMIFS(X$10:X$23, $A$10:$A$23,$A33, $B$10:$B$23, "Actual")/SUMIFS(X$10:X$23, $A$10:$A$23,$A33, $B$10:$B$23, "Budgeted")</f>
        <v>1.18478726942927</v>
      </c>
      <c r="Y33" s="12" t="n">
        <f aca="false">SUMIFS(Y$10:Y$23, $A$10:$A$23,$A33, $B$10:$B$23, "Actual")/SUMIFS(Y$10:Y$23, $A$10:$A$23,$A33, $B$10:$B$23, "Budgeted")</f>
        <v>0.941265563135048</v>
      </c>
      <c r="Z33" s="12" t="n">
        <f aca="false">SUMIFS(Z$10:Z$23, $A$10:$A$23,$A33, $B$10:$B$23, "Actual")/SUMIFS(Z$10:Z$23, $A$10:$A$23,$A33, $B$10:$B$23, "Budgeted")</f>
        <v>1.51528102875307</v>
      </c>
      <c r="AA33" s="12" t="n">
        <f aca="false">SUMIFS(AA$10:AA$23, $A$10:$A$23,$A33, $B$10:$B$23, "Actual")/SUMIFS(AA$10:AA$23, $A$10:$A$23,$A33, $B$10:$B$23, "Budgeted")</f>
        <v>0.52673732618648</v>
      </c>
      <c r="AB33" s="12" t="n">
        <f aca="false">SUMIFS(AB$10:AB$23, $A$10:$A$23,$A33, $B$10:$B$23, "Actual")/SUMIFS(AB$10:AB$23, $A$10:$A$23,$A33, $B$10:$B$23, "Budgeted")</f>
        <v>0.416876463304277</v>
      </c>
      <c r="AC33" s="12" t="e">
        <f aca="false">SUMIFS(AC$10:AC$23, $A$10:$A$23,$A33, $B$10:$B$23, "Actual")/SUMIFS(AC$10:AC$23, $A$10:$A$23,$A33, $B$10:$B$23, "Budgeted")</f>
        <v>#DIV/0!</v>
      </c>
      <c r="AD33" s="12" t="n">
        <f aca="false">SUMIFS(AD$10:AD$23, $A$10:$A$23,$A33, $B$10:$B$23, "Actual")/SUMIFS(AD$10:AD$23, $A$10:$A$23,$A33, $B$10:$B$23, "Budgeted")</f>
        <v>1.1758391431747</v>
      </c>
      <c r="AE33" s="12" t="n">
        <f aca="false">SUMIFS(AE$10:AE$23, $A$10:$A$23,$A33, $B$10:$B$23, "Actual")/SUMIFS(AE$10:AE$23, $A$10:$A$23,$A33, $B$10:$B$23, "Budgeted")</f>
        <v>1.341224526319</v>
      </c>
      <c r="AF33" s="12" t="n">
        <f aca="false">SUMIFS(AF$10:AF$23, $A$10:$A$23,$A33, $B$10:$B$23, "Actual")/SUMIFS(AF$10:AF$23, $A$10:$A$23,$A33, $B$10:$B$23, "Budgeted")</f>
        <v>1.5136105040065</v>
      </c>
      <c r="AG33" s="12" t="n">
        <f aca="false">SUMIFS(AG$10:AG$23, $A$10:$A$23,$A33, $B$10:$B$23, "Actual")/SUMIFS(AG$10:AG$23, $A$10:$A$23,$A33, $B$10:$B$23, "Budgeted")</f>
        <v>2.21795133272382</v>
      </c>
      <c r="AH33" s="12" t="n">
        <f aca="false">SUMIFS(AH$10:AH$23, $A$10:$A$23,$A33, $B$10:$B$23, "Actual")/SUMIFS(AH$10:AH$23, $A$10:$A$23,$A33, $B$10:$B$23, "Budgeted")</f>
        <v>0.818648229468373</v>
      </c>
      <c r="AI33" s="12" t="n">
        <f aca="false">SUMIFS(AI$10:AI$23, $A$10:$A$23,$A33, $B$10:$B$23, "Actual")/SUMIFS(AI$10:AI$23, $A$10:$A$23,$A33, $B$10:$B$23, "Budgeted")</f>
        <v>0.94404191087829</v>
      </c>
      <c r="AJ33" s="12" t="n">
        <f aca="false">SUMIFS(AJ$10:AJ$23, $A$10:$A$23,$A33, $B$10:$B$23, "Actual")/SUMIFS(AJ$10:AJ$23, $A$10:$A$23,$A33, $B$10:$B$23, "Budgeted")</f>
        <v>1.10125185759262</v>
      </c>
      <c r="AL33" s="12" t="n">
        <f aca="false">SUMIFS(AL$10:AL$23, $A$10:$A$23,$A33, $B$10:$B$23, "Actual")/SUMIFS(AL$10:AL$23, $A$10:$A$23,$A33, $B$10:$B$23, "Budgeted")</f>
        <v>0.682529361471191</v>
      </c>
      <c r="AM33" s="12" t="n">
        <f aca="false">SUMIFS(AM$10:AM$23, $A$10:$A$23,$A33, $B$10:$B$23, "Actual")/SUMIFS(AM$10:AM$23, $A$10:$A$23,$A33, $B$10:$B$23, "Budgeted")</f>
        <v>1.02653805346664</v>
      </c>
      <c r="AN33" s="12" t="n">
        <f aca="false">SUMIFS(AN$10:AN$23, $A$10:$A$23,$A33, $B$10:$B$23, "Actual")/SUMIFS(AN$10:AN$23, $A$10:$A$23,$A33, $B$10:$B$23, "Budgeted")</f>
        <v>0.640742589043794</v>
      </c>
      <c r="AO33" s="12" t="n">
        <f aca="false">SUMIFS(AO$10:AO$23, $A$10:$A$23,$A33, $B$10:$B$23, "Actual")/SUMIFS(AO$10:AO$23, $A$10:$A$23,$A33, $B$10:$B$23, "Budgeted")</f>
        <v>1.1758391431747</v>
      </c>
      <c r="AP33" s="12" t="n">
        <f aca="false">SUMIFS(AP$10:AP$23, $A$10:$A$23,$A33, $B$10:$B$23, "Actual")/SUMIFS(AP$10:AP$23, $A$10:$A$23,$A33, $B$10:$B$23, "Budgeted")</f>
        <v>1.19842605467058</v>
      </c>
      <c r="AR33" s="12" t="n">
        <f aca="false">SUMIFS(AR$10:AR$23, $A$10:$A$23,$A33, $B$10:$B$23, "Actual")/SUMIFS(AR$10:AR$23, $A$10:$A$23,$A33, $B$10:$B$23, "Budgeted")</f>
        <v>0.849793223449772</v>
      </c>
    </row>
    <row r="34" customFormat="false" ht="16.25" hidden="false" customHeight="false" outlineLevel="0" collapsed="false">
      <c r="A34" s="0" t="s">
        <v>47</v>
      </c>
      <c r="B34" s="0" t="s">
        <v>56</v>
      </c>
      <c r="C34" s="12" t="n">
        <f aca="false">SUMIFS(C$10:C$23, $A$10:$A$23,$A34, $B$10:$B$23, "Actual")/SUMIFS(C$10:C$23, $A$10:$A$23,$A34, $B$10:$B$23, "Budgeted")</f>
        <v>0</v>
      </c>
      <c r="D34" s="12" t="n">
        <f aca="false">SUMIFS(D$10:D$23, $A$10:$A$23,$A34, $B$10:$B$23, "Actual")/SUMIFS(D$10:D$23, $A$10:$A$23,$A34, $B$10:$B$23, "Budgeted")</f>
        <v>0</v>
      </c>
      <c r="E34" s="12" t="n">
        <f aca="false">SUMIFS(E$10:E$23, $A$10:$A$23,$A34, $B$10:$B$23, "Actual")/SUMIFS(E$10:E$23, $A$10:$A$23,$A34, $B$10:$B$23, "Budgeted")</f>
        <v>1.01182461765858</v>
      </c>
      <c r="F34" s="12" t="n">
        <f aca="false">SUMIFS(F$10:F$23, $A$10:$A$23,$A34, $B$10:$B$23, "Actual")/SUMIFS(F$10:F$23, $A$10:$A$23,$A34, $B$10:$B$23, "Budgeted")</f>
        <v>0</v>
      </c>
      <c r="G34" s="12" t="n">
        <f aca="false">SUMIFS(G$10:G$23, $A$10:$A$23,$A34, $B$10:$B$23, "Actual")/SUMIFS(G$10:G$23, $A$10:$A$23,$A34, $B$10:$B$23, "Budgeted")</f>
        <v>0.2407</v>
      </c>
      <c r="H34" s="12" t="n">
        <f aca="false">SUMIFS(H$10:H$23, $A$10:$A$23,$A34, $B$10:$B$23, "Actual")/SUMIFS(H$10:H$23, $A$10:$A$23,$A34, $B$10:$B$23, "Budgeted")</f>
        <v>0.280462809917355</v>
      </c>
      <c r="I34" s="12" t="n">
        <f aca="false">SUMIFS(I$10:I$23, $A$10:$A$23,$A34, $B$10:$B$23, "Actual")/SUMIFS(I$10:I$23, $A$10:$A$23,$A34, $B$10:$B$23, "Budgeted")</f>
        <v>1.30159560723514</v>
      </c>
      <c r="J34" s="12" t="e">
        <f aca="false">SUMIFS(J$10:J$23, $A$10:$A$23,$A34, $B$10:$B$23, "Actual")/SUMIFS(J$10:J$23, $A$10:$A$23,$A34, $B$10:$B$23, "Budgeted")</f>
        <v>#DIV/0!</v>
      </c>
      <c r="K34" s="12" t="n">
        <f aca="false">SUMIFS(K$10:K$23, $A$10:$A$23,$A34, $B$10:$B$23, "Actual")/SUMIFS(K$10:K$23, $A$10:$A$23,$A34, $B$10:$B$23, "Budgeted")</f>
        <v>1.21152908828583</v>
      </c>
      <c r="L34" s="12" t="n">
        <f aca="false">SUMIFS(L$10:L$23, $A$10:$A$23,$A34, $B$10:$B$23, "Actual")/SUMIFS(L$10:L$23, $A$10:$A$23,$A34, $B$10:$B$23, "Budgeted")</f>
        <v>0</v>
      </c>
      <c r="M34" s="12" t="e">
        <f aca="false">SUMIFS(M$10:M$23, $A$10:$A$23,$A34, $B$10:$B$23, "Actual")/SUMIFS(M$10:M$23, $A$10:$A$23,$A34, $B$10:$B$23, "Budgeted")</f>
        <v>#DIV/0!</v>
      </c>
      <c r="N34" s="12" t="e">
        <f aca="false">SUMIFS(N$10:N$23, $A$10:$A$23,$A34, $B$10:$B$23, "Actual")/SUMIFS(N$10:N$23, $A$10:$A$23,$A34, $B$10:$B$23, "Budgeted")</f>
        <v>#DIV/0!</v>
      </c>
      <c r="O34" s="12" t="n">
        <f aca="false">SUMIFS(O$10:O$23, $A$10:$A$23,$A34, $B$10:$B$23, "Actual")/SUMIFS(O$10:O$23, $A$10:$A$23,$A34, $B$10:$B$23, "Budgeted")</f>
        <v>0.99026395173454</v>
      </c>
      <c r="P34" s="12" t="n">
        <f aca="false">SUMIFS(P$10:P$23, $A$10:$A$23,$A34, $B$10:$B$23, "Actual")/SUMIFS(P$10:P$23, $A$10:$A$23,$A34, $B$10:$B$23, "Budgeted")</f>
        <v>2.10017235957935</v>
      </c>
      <c r="Q34" s="12" t="n">
        <f aca="false">SUMIFS(Q$10:Q$23, $A$10:$A$23,$A34, $B$10:$B$23, "Actual")/SUMIFS(Q$10:Q$23, $A$10:$A$23,$A34, $B$10:$B$23, "Budgeted")</f>
        <v>0.961025242718447</v>
      </c>
      <c r="R34" s="12" t="e">
        <f aca="false">SUMIFS(R$10:R$23, $A$10:$A$23,$A34, $B$10:$B$23, "Actual")/SUMIFS(R$10:R$23, $A$10:$A$23,$A34, $B$10:$B$23, "Budgeted")</f>
        <v>#DIV/0!</v>
      </c>
      <c r="S34" s="12" t="n">
        <f aca="false">SUMIFS(S$10:S$23, $A$10:$A$23,$A34, $B$10:$B$23, "Actual")/SUMIFS(S$10:S$23, $A$10:$A$23,$A34, $B$10:$B$23, "Budgeted")</f>
        <v>1.43428639353833</v>
      </c>
      <c r="T34" s="12" t="n">
        <f aca="false">SUMIFS(T$10:T$23, $A$10:$A$23,$A34, $B$10:$B$23, "Actual")/SUMIFS(T$10:T$23, $A$10:$A$23,$A34, $B$10:$B$23, "Budgeted")</f>
        <v>0</v>
      </c>
      <c r="U34" s="12" t="e">
        <f aca="false">SUMIFS(U$10:U$23, $A$10:$A$23,$A34, $B$10:$B$23, "Actual")/SUMIFS(U$10:U$23, $A$10:$A$23,$A34, $B$10:$B$23, "Budgeted")</f>
        <v>#DIV/0!</v>
      </c>
      <c r="V34" s="12" t="n">
        <f aca="false">SUMIFS(V$10:V$23, $A$10:$A$23,$A34, $B$10:$B$23, "Actual")/SUMIFS(V$10:V$23, $A$10:$A$23,$A34, $B$10:$B$23, "Budgeted")</f>
        <v>0.106869993838571</v>
      </c>
      <c r="W34" s="12" t="n">
        <f aca="false">SUMIFS(W$10:W$23, $A$10:$A$23,$A34, $B$10:$B$23, "Actual")/SUMIFS(W$10:W$23, $A$10:$A$23,$A34, $B$10:$B$23, "Budgeted")</f>
        <v>0.100446875</v>
      </c>
      <c r="X34" s="12" t="n">
        <f aca="false">SUMIFS(X$10:X$23, $A$10:$A$23,$A34, $B$10:$B$23, "Actual")/SUMIFS(X$10:X$23, $A$10:$A$23,$A34, $B$10:$B$23, "Budgeted")</f>
        <v>1.02806005505956</v>
      </c>
      <c r="Y34" s="12" t="n">
        <f aca="false">SUMIFS(Y$10:Y$23, $A$10:$A$23,$A34, $B$10:$B$23, "Actual")/SUMIFS(Y$10:Y$23, $A$10:$A$23,$A34, $B$10:$B$23, "Budgeted")</f>
        <v>0.671420284934143</v>
      </c>
      <c r="Z34" s="12" t="n">
        <f aca="false">SUMIFS(Z$10:Z$23, $A$10:$A$23,$A34, $B$10:$B$23, "Actual")/SUMIFS(Z$10:Z$23, $A$10:$A$23,$A34, $B$10:$B$23, "Budgeted")</f>
        <v>0.936982470784641</v>
      </c>
      <c r="AA34" s="12" t="n">
        <f aca="false">SUMIFS(AA$10:AA$23, $A$10:$A$23,$A34, $B$10:$B$23, "Actual")/SUMIFS(AA$10:AA$23, $A$10:$A$23,$A34, $B$10:$B$23, "Budgeted")</f>
        <v>0.511138355945644</v>
      </c>
      <c r="AB34" s="12" t="n">
        <f aca="false">SUMIFS(AB$10:AB$23, $A$10:$A$23,$A34, $B$10:$B$23, "Actual")/SUMIFS(AB$10:AB$23, $A$10:$A$23,$A34, $B$10:$B$23, "Budgeted")</f>
        <v>0.689932829234261</v>
      </c>
      <c r="AC34" s="12" t="n">
        <f aca="false">SUMIFS(AC$10:AC$23, $A$10:$A$23,$A34, $B$10:$B$23, "Actual")/SUMIFS(AC$10:AC$23, $A$10:$A$23,$A34, $B$10:$B$23, "Budgeted")</f>
        <v>0.382109408527504</v>
      </c>
      <c r="AD34" s="12" t="n">
        <f aca="false">SUMIFS(AD$10:AD$23, $A$10:$A$23,$A34, $B$10:$B$23, "Actual")/SUMIFS(AD$10:AD$23, $A$10:$A$23,$A34, $B$10:$B$23, "Budgeted")</f>
        <v>1.89829803488816</v>
      </c>
      <c r="AE34" s="12" t="n">
        <f aca="false">SUMIFS(AE$10:AE$23, $A$10:$A$23,$A34, $B$10:$B$23, "Actual")/SUMIFS(AE$10:AE$23, $A$10:$A$23,$A34, $B$10:$B$23, "Budgeted")</f>
        <v>3.24035778175313</v>
      </c>
      <c r="AF34" s="12" t="n">
        <f aca="false">SUMIFS(AF$10:AF$23, $A$10:$A$23,$A34, $B$10:$B$23, "Actual")/SUMIFS(AF$10:AF$23, $A$10:$A$23,$A34, $B$10:$B$23, "Budgeted")</f>
        <v>1.01261030433823</v>
      </c>
      <c r="AG34" s="12" t="n">
        <f aca="false">SUMIFS(AG$10:AG$23, $A$10:$A$23,$A34, $B$10:$B$23, "Actual")/SUMIFS(AG$10:AG$23, $A$10:$A$23,$A34, $B$10:$B$23, "Budgeted")</f>
        <v>2.18864354031532</v>
      </c>
      <c r="AH34" s="12" t="n">
        <f aca="false">SUMIFS(AH$10:AH$23, $A$10:$A$23,$A34, $B$10:$B$23, "Actual")/SUMIFS(AH$10:AH$23, $A$10:$A$23,$A34, $B$10:$B$23, "Budgeted")</f>
        <v>1.1010514541387</v>
      </c>
      <c r="AI34" s="12" t="n">
        <f aca="false">SUMIFS(AI$10:AI$23, $A$10:$A$23,$A34, $B$10:$B$23, "Actual")/SUMIFS(AI$10:AI$23, $A$10:$A$23,$A34, $B$10:$B$23, "Budgeted")</f>
        <v>1.01379255197624</v>
      </c>
      <c r="AJ34" s="12" t="n">
        <f aca="false">SUMIFS(AJ$10:AJ$23, $A$10:$A$23,$A34, $B$10:$B$23, "Actual")/SUMIFS(AJ$10:AJ$23, $A$10:$A$23,$A34, $B$10:$B$23, "Budgeted")</f>
        <v>1.04038543083154</v>
      </c>
      <c r="AL34" s="12" t="n">
        <f aca="false">SUMIFS(AL$10:AL$23, $A$10:$A$23,$A34, $B$10:$B$23, "Actual")/SUMIFS(AL$10:AL$23, $A$10:$A$23,$A34, $B$10:$B$23, "Budgeted")</f>
        <v>0.420279998077006</v>
      </c>
      <c r="AM34" s="12" t="n">
        <f aca="false">SUMIFS(AM$10:AM$23, $A$10:$A$23,$A34, $B$10:$B$23, "Actual")/SUMIFS(AM$10:AM$23, $A$10:$A$23,$A34, $B$10:$B$23, "Budgeted")</f>
        <v>1.13699715312131</v>
      </c>
      <c r="AN34" s="12" t="n">
        <f aca="false">SUMIFS(AN$10:AN$23, $A$10:$A$23,$A34, $B$10:$B$23, "Actual")/SUMIFS(AN$10:AN$23, $A$10:$A$23,$A34, $B$10:$B$23, "Budgeted")</f>
        <v>0.48515670320916</v>
      </c>
      <c r="AO34" s="12" t="n">
        <f aca="false">SUMIFS(AO$10:AO$23, $A$10:$A$23,$A34, $B$10:$B$23, "Actual")/SUMIFS(AO$10:AO$23, $A$10:$A$23,$A34, $B$10:$B$23, "Budgeted")</f>
        <v>1.02866171716916</v>
      </c>
      <c r="AP34" s="12" t="n">
        <f aca="false">SUMIFS(AP$10:AP$23, $A$10:$A$23,$A34, $B$10:$B$23, "Actual")/SUMIFS(AP$10:AP$23, $A$10:$A$23,$A34, $B$10:$B$23, "Budgeted")</f>
        <v>1.30194154677843</v>
      </c>
      <c r="AR34" s="12" t="n">
        <f aca="false">SUMIFS(AR$10:AR$23, $A$10:$A$23,$A34, $B$10:$B$23, "Actual")/SUMIFS(AR$10:AR$23, $A$10:$A$23,$A34, $B$10:$B$23, "Budgeted")</f>
        <v>0.845204846681629</v>
      </c>
    </row>
    <row r="35" customFormat="false" ht="12.75" hidden="false" customHeight="false" outlineLevel="0" collapsed="false">
      <c r="A35" s="0" t="s">
        <v>48</v>
      </c>
      <c r="B35" s="0" t="s">
        <v>56</v>
      </c>
      <c r="C35" s="12" t="n">
        <f aca="false">SUMIFS(C$10:C$23, $A$10:$A$23,$A35, $B$10:$B$23, "Actual")/SUMIFS(C$10:C$23, $A$10:$A$23,$A35, $B$10:$B$23, "Budgeted")</f>
        <v>1.06439376207539</v>
      </c>
      <c r="D35" s="12" t="n">
        <f aca="false">SUMIFS(D$10:D$23, $A$10:$A$23,$A35, $B$10:$B$23, "Actual")/SUMIFS(D$10:D$23, $A$10:$A$23,$A35, $B$10:$B$23, "Budgeted")</f>
        <v>1.21011935877331</v>
      </c>
      <c r="E35" s="12" t="n">
        <f aca="false">SUMIFS(E$10:E$23, $A$10:$A$23,$A35, $B$10:$B$23, "Actual")/SUMIFS(E$10:E$23, $A$10:$A$23,$A35, $B$10:$B$23, "Budgeted")</f>
        <v>1.43491398868757</v>
      </c>
      <c r="F35" s="12" t="n">
        <f aca="false">SUMIFS(F$10:F$23, $A$10:$A$23,$A35, $B$10:$B$23, "Actual")/SUMIFS(F$10:F$23, $A$10:$A$23,$A35, $B$10:$B$23, "Budgeted")</f>
        <v>1.06325424783894</v>
      </c>
      <c r="G35" s="12" t="n">
        <f aca="false">SUMIFS(G$10:G$23, $A$10:$A$23,$A35, $B$10:$B$23, "Actual")/SUMIFS(G$10:G$23, $A$10:$A$23,$A35, $B$10:$B$23, "Budgeted")</f>
        <v>0.444517864608417</v>
      </c>
      <c r="H35" s="12" t="n">
        <f aca="false">SUMIFS(H$10:H$23, $A$10:$A$23,$A35, $B$10:$B$23, "Actual")/SUMIFS(H$10:H$23, $A$10:$A$23,$A35, $B$10:$B$23, "Budgeted")</f>
        <v>1.44850843923969</v>
      </c>
      <c r="I35" s="12" t="n">
        <f aca="false">SUMIFS(I$10:I$23, $A$10:$A$23,$A35, $B$10:$B$23, "Actual")/SUMIFS(I$10:I$23, $A$10:$A$23,$A35, $B$10:$B$23, "Budgeted")</f>
        <v>1.29876704620681</v>
      </c>
      <c r="J35" s="12" t="n">
        <f aca="false">SUMIFS(J$10:J$23, $A$10:$A$23,$A35, $B$10:$B$23, "Actual")/SUMIFS(J$10:J$23, $A$10:$A$23,$A35, $B$10:$B$23, "Budgeted")</f>
        <v>0.308312469467513</v>
      </c>
      <c r="K35" s="12" t="n">
        <f aca="false">SUMIFS(K$10:K$23, $A$10:$A$23,$A35, $B$10:$B$23, "Actual")/SUMIFS(K$10:K$23, $A$10:$A$23,$A35, $B$10:$B$23, "Budgeted")</f>
        <v>1.78059122411206</v>
      </c>
      <c r="L35" s="12" t="n">
        <f aca="false">SUMIFS(L$10:L$23, $A$10:$A$23,$A35, $B$10:$B$23, "Actual")/SUMIFS(L$10:L$23, $A$10:$A$23,$A35, $B$10:$B$23, "Budgeted")</f>
        <v>0.0966850917247457</v>
      </c>
      <c r="M35" s="12" t="n">
        <f aca="false">SUMIFS(M$10:M$23, $A$10:$A$23,$A35, $B$10:$B$23, "Actual")/SUMIFS(M$10:M$23, $A$10:$A$23,$A35, $B$10:$B$23, "Budgeted")</f>
        <v>1.80922736134805</v>
      </c>
      <c r="N35" s="12" t="n">
        <f aca="false">SUMIFS(N$10:N$23, $A$10:$A$23,$A35, $B$10:$B$23, "Actual")/SUMIFS(N$10:N$23, $A$10:$A$23,$A35, $B$10:$B$23, "Budgeted")</f>
        <v>0.188606673633921</v>
      </c>
      <c r="O35" s="12" t="n">
        <f aca="false">SUMIFS(O$10:O$23, $A$10:$A$23,$A35, $B$10:$B$23, "Actual")/SUMIFS(O$10:O$23, $A$10:$A$23,$A35, $B$10:$B$23, "Budgeted")</f>
        <v>1.52965958214804</v>
      </c>
      <c r="P35" s="12" t="n">
        <f aca="false">SUMIFS(P$10:P$23, $A$10:$A$23,$A35, $B$10:$B$23, "Actual")/SUMIFS(P$10:P$23, $A$10:$A$23,$A35, $B$10:$B$23, "Budgeted")</f>
        <v>1.76112309485014</v>
      </c>
      <c r="Q35" s="12" t="n">
        <f aca="false">SUMIFS(Q$10:Q$23, $A$10:$A$23,$A35, $B$10:$B$23, "Actual")/SUMIFS(Q$10:Q$23, $A$10:$A$23,$A35, $B$10:$B$23, "Budgeted")</f>
        <v>1.55246253689548</v>
      </c>
      <c r="R35" s="12" t="n">
        <f aca="false">SUMIFS(R$10:R$23, $A$10:$A$23,$A35, $B$10:$B$23, "Actual")/SUMIFS(R$10:R$23, $A$10:$A$23,$A35, $B$10:$B$23, "Budgeted")</f>
        <v>2.80357782714634</v>
      </c>
      <c r="S35" s="12" t="n">
        <f aca="false">SUMIFS(S$10:S$23, $A$10:$A$23,$A35, $B$10:$B$23, "Actual")/SUMIFS(S$10:S$23, $A$10:$A$23,$A35, $B$10:$B$23, "Budgeted")</f>
        <v>1.71704958553302</v>
      </c>
      <c r="T35" s="12" t="n">
        <f aca="false">SUMIFS(T$10:T$23, $A$10:$A$23,$A35, $B$10:$B$23, "Actual")/SUMIFS(T$10:T$23, $A$10:$A$23,$A35, $B$10:$B$23, "Budgeted")</f>
        <v>1.0999259375163</v>
      </c>
      <c r="U35" s="12" t="n">
        <f aca="false">SUMIFS(U$10:U$23, $A$10:$A$23,$A35, $B$10:$B$23, "Actual")/SUMIFS(U$10:U$23, $A$10:$A$23,$A35, $B$10:$B$23, "Budgeted")</f>
        <v>1.14697408415806</v>
      </c>
      <c r="V35" s="12" t="n">
        <f aca="false">SUMIFS(V$10:V$23, $A$10:$A$23,$A35, $B$10:$B$23, "Actual")/SUMIFS(V$10:V$23, $A$10:$A$23,$A35, $B$10:$B$23, "Budgeted")</f>
        <v>0.463627469250839</v>
      </c>
      <c r="W35" s="12" t="n">
        <f aca="false">SUMIFS(W$10:W$23, $A$10:$A$23,$A35, $B$10:$B$23, "Actual")/SUMIFS(W$10:W$23, $A$10:$A$23,$A35, $B$10:$B$23, "Budgeted")</f>
        <v>1.74305506139313</v>
      </c>
      <c r="X35" s="12" t="n">
        <f aca="false">SUMIFS(X$10:X$23, $A$10:$A$23,$A35, $B$10:$B$23, "Actual")/SUMIFS(X$10:X$23, $A$10:$A$23,$A35, $B$10:$B$23, "Budgeted")</f>
        <v>1.70946434914165</v>
      </c>
      <c r="Y35" s="12" t="n">
        <f aca="false">SUMIFS(Y$10:Y$23, $A$10:$A$23,$A35, $B$10:$B$23, "Actual")/SUMIFS(Y$10:Y$23, $A$10:$A$23,$A35, $B$10:$B$23, "Budgeted")</f>
        <v>2.35005773354594</v>
      </c>
      <c r="Z35" s="12" t="n">
        <f aca="false">SUMIFS(Z$10:Z$23, $A$10:$A$23,$A35, $B$10:$B$23, "Actual")/SUMIFS(Z$10:Z$23, $A$10:$A$23,$A35, $B$10:$B$23, "Budgeted")</f>
        <v>1.52702474942773</v>
      </c>
      <c r="AA35" s="12" t="n">
        <f aca="false">SUMIFS(AA$10:AA$23, $A$10:$A$23,$A35, $B$10:$B$23, "Actual")/SUMIFS(AA$10:AA$23, $A$10:$A$23,$A35, $B$10:$B$23, "Budgeted")</f>
        <v>1.22439805497201</v>
      </c>
      <c r="AB35" s="12" t="n">
        <f aca="false">SUMIFS(AB$10:AB$23, $A$10:$A$23,$A35, $B$10:$B$23, "Actual")/SUMIFS(AB$10:AB$23, $A$10:$A$23,$A35, $B$10:$B$23, "Budgeted")</f>
        <v>1.32279707807111</v>
      </c>
      <c r="AC35" s="12" t="n">
        <f aca="false">SUMIFS(AC$10:AC$23, $A$10:$A$23,$A35, $B$10:$B$23, "Actual")/SUMIFS(AC$10:AC$23, $A$10:$A$23,$A35, $B$10:$B$23, "Budgeted")</f>
        <v>2.62954371707736</v>
      </c>
      <c r="AD35" s="12" t="n">
        <f aca="false">SUMIFS(AD$10:AD$23, $A$10:$A$23,$A35, $B$10:$B$23, "Actual")/SUMIFS(AD$10:AD$23, $A$10:$A$23,$A35, $B$10:$B$23, "Budgeted")</f>
        <v>1.55288339308546</v>
      </c>
      <c r="AE35" s="12" t="n">
        <f aca="false">SUMIFS(AE$10:AE$23, $A$10:$A$23,$A35, $B$10:$B$23, "Actual")/SUMIFS(AE$10:AE$23, $A$10:$A$23,$A35, $B$10:$B$23, "Budgeted")</f>
        <v>1.71751110517351</v>
      </c>
      <c r="AF35" s="12" t="n">
        <f aca="false">SUMIFS(AF$10:AF$23, $A$10:$A$23,$A35, $B$10:$B$23, "Actual")/SUMIFS(AF$10:AF$23, $A$10:$A$23,$A35, $B$10:$B$23, "Budgeted")</f>
        <v>1.00587329222333</v>
      </c>
      <c r="AG35" s="12" t="n">
        <f aca="false">SUMIFS(AG$10:AG$23, $A$10:$A$23,$A35, $B$10:$B$23, "Actual")/SUMIFS(AG$10:AG$23, $A$10:$A$23,$A35, $B$10:$B$23, "Budgeted")</f>
        <v>1.07357439270914</v>
      </c>
      <c r="AH35" s="12" t="n">
        <f aca="false">SUMIFS(AH$10:AH$23, $A$10:$A$23,$A35, $B$10:$B$23, "Actual")/SUMIFS(AH$10:AH$23, $A$10:$A$23,$A35, $B$10:$B$23, "Budgeted")</f>
        <v>1.03977165059132</v>
      </c>
      <c r="AI35" s="12" t="n">
        <f aca="false">SUMIFS(AI$10:AI$23, $A$10:$A$23,$A35, $B$10:$B$23, "Actual")/SUMIFS(AI$10:AI$23, $A$10:$A$23,$A35, $B$10:$B$23, "Budgeted")</f>
        <v>0.924020840047266</v>
      </c>
      <c r="AJ35" s="12" t="n">
        <f aca="false">SUMIFS(AJ$10:AJ$23, $A$10:$A$23,$A35, $B$10:$B$23, "Actual")/SUMIFS(AJ$10:AJ$23, $A$10:$A$23,$A35, $B$10:$B$23, "Budgeted")</f>
        <v>1.05724541036952</v>
      </c>
      <c r="AL35" s="12" t="n">
        <f aca="false">SUMIFS(AL$10:AL$23, $A$10:$A$23,$A35, $B$10:$B$23, "Actual")/SUMIFS(AL$10:AL$23, $A$10:$A$23,$A35, $B$10:$B$23, "Budgeted")</f>
        <v>1.0746206528738</v>
      </c>
      <c r="AM35" s="12" t="n">
        <f aca="false">SUMIFS(AM$10:AM$23, $A$10:$A$23,$A35, $B$10:$B$23, "Actual")/SUMIFS(AM$10:AM$23, $A$10:$A$23,$A35, $B$10:$B$23, "Budgeted")</f>
        <v>1.47079060628729</v>
      </c>
      <c r="AN35" s="12" t="n">
        <f aca="false">SUMIFS(AN$10:AN$23, $A$10:$A$23,$A35, $B$10:$B$23, "Actual")/SUMIFS(AN$10:AN$23, $A$10:$A$23,$A35, $B$10:$B$23, "Budgeted")</f>
        <v>1.30422497598224</v>
      </c>
      <c r="AO35" s="12" t="n">
        <f aca="false">SUMIFS(AO$10:AO$23, $A$10:$A$23,$A35, $B$10:$B$23, "Actual")/SUMIFS(AO$10:AO$23, $A$10:$A$23,$A35, $B$10:$B$23, "Budgeted")</f>
        <v>1.99758205966127</v>
      </c>
      <c r="AP35" s="12" t="n">
        <f aca="false">SUMIFS(AP$10:AP$23, $A$10:$A$23,$A35, $B$10:$B$23, "Actual")/SUMIFS(AP$10:AP$23, $A$10:$A$23,$A35, $B$10:$B$23, "Budgeted")</f>
        <v>1.08666618593431</v>
      </c>
      <c r="AR35" s="12" t="n">
        <f aca="false">SUMIFS(AR$10:AR$23, $A$10:$A$23,$A35, $B$10:$B$23, "Actual")/SUMIFS(AR$10:AR$23, $A$10:$A$23,$A35, $B$10:$B$23, "Budgeted")</f>
        <v>1.23752156014417</v>
      </c>
    </row>
    <row r="36" customFormat="false" ht="16.25" hidden="false" customHeight="false" outlineLevel="0" collapsed="false">
      <c r="A36" s="0" t="s">
        <v>49</v>
      </c>
      <c r="B36" s="0" t="s">
        <v>56</v>
      </c>
      <c r="C36" s="12" t="n">
        <f aca="false">SUMIFS(C$10:C$23, $A$10:$A$23,$A36, $B$10:$B$23, "Actual")/SUMIFS(C$10:C$23, $A$10:$A$23,$A36, $B$10:$B$23, "Budgeted")</f>
        <v>0.878673727992995</v>
      </c>
      <c r="D36" s="12" t="n">
        <f aca="false">SUMIFS(D$10:D$23, $A$10:$A$23,$A36, $B$10:$B$23, "Actual")/SUMIFS(D$10:D$23, $A$10:$A$23,$A36, $B$10:$B$23, "Budgeted")</f>
        <v>0.973149635718289</v>
      </c>
      <c r="E36" s="12" t="n">
        <f aca="false">SUMIFS(E$10:E$23, $A$10:$A$23,$A36, $B$10:$B$23, "Actual")/SUMIFS(E$10:E$23, $A$10:$A$23,$A36, $B$10:$B$23, "Budgeted")</f>
        <v>0.928968120968032</v>
      </c>
      <c r="F36" s="12" t="n">
        <f aca="false">SUMIFS(F$10:F$23, $A$10:$A$23,$A36, $B$10:$B$23, "Actual")/SUMIFS(F$10:F$23, $A$10:$A$23,$A36, $B$10:$B$23, "Budgeted")</f>
        <v>0.703943481584003</v>
      </c>
      <c r="G36" s="12" t="n">
        <f aca="false">SUMIFS(G$10:G$23, $A$10:$A$23,$A36, $B$10:$B$23, "Actual")/SUMIFS(G$10:G$23, $A$10:$A$23,$A36, $B$10:$B$23, "Budgeted")</f>
        <v>0.732617539502385</v>
      </c>
      <c r="H36" s="12" t="n">
        <f aca="false">SUMIFS(H$10:H$23, $A$10:$A$23,$A36, $B$10:$B$23, "Actual")/SUMIFS(H$10:H$23, $A$10:$A$23,$A36, $B$10:$B$23, "Budgeted")</f>
        <v>0.727402882205514</v>
      </c>
      <c r="I36" s="12" t="n">
        <f aca="false">SUMIFS(I$10:I$23, $A$10:$A$23,$A36, $B$10:$B$23, "Actual")/SUMIFS(I$10:I$23, $A$10:$A$23,$A36, $B$10:$B$23, "Budgeted")</f>
        <v>0.409246614533664</v>
      </c>
      <c r="J36" s="12" t="n">
        <f aca="false">SUMIFS(J$10:J$23, $A$10:$A$23,$A36, $B$10:$B$23, "Actual")/SUMIFS(J$10:J$23, $A$10:$A$23,$A36, $B$10:$B$23, "Budgeted")</f>
        <v>0.104555722891566</v>
      </c>
      <c r="K36" s="12" t="n">
        <f aca="false">SUMIFS(K$10:K$23, $A$10:$A$23,$A36, $B$10:$B$23, "Actual")/SUMIFS(K$10:K$23, $A$10:$A$23,$A36, $B$10:$B$23, "Budgeted")</f>
        <v>1.41501090323728</v>
      </c>
      <c r="L36" s="12" t="e">
        <f aca="false">SUMIFS(L$10:L$23, $A$10:$A$23,$A36, $B$10:$B$23, "Actual")/SUMIFS(L$10:L$23, $A$10:$A$23,$A36, $B$10:$B$23, "Budgeted")</f>
        <v>#DIV/0!</v>
      </c>
      <c r="M36" s="12" t="n">
        <f aca="false">SUMIFS(M$10:M$23, $A$10:$A$23,$A36, $B$10:$B$23, "Actual")/SUMIFS(M$10:M$23, $A$10:$A$23,$A36, $B$10:$B$23, "Budgeted")</f>
        <v>0.886558836264778</v>
      </c>
      <c r="N36" s="12" t="e">
        <f aca="false">SUMIFS(N$10:N$23, $A$10:$A$23,$A36, $B$10:$B$23, "Actual")/SUMIFS(N$10:N$23, $A$10:$A$23,$A36, $B$10:$B$23, "Budgeted")</f>
        <v>#DIV/0!</v>
      </c>
      <c r="O36" s="12" t="n">
        <f aca="false">SUMIFS(O$10:O$23, $A$10:$A$23,$A36, $B$10:$B$23, "Actual")/SUMIFS(O$10:O$23, $A$10:$A$23,$A36, $B$10:$B$23, "Budgeted")</f>
        <v>0.871384391901769</v>
      </c>
      <c r="P36" s="12" t="n">
        <f aca="false">SUMIFS(P$10:P$23, $A$10:$A$23,$A36, $B$10:$B$23, "Actual")/SUMIFS(P$10:P$23, $A$10:$A$23,$A36, $B$10:$B$23, "Budgeted")</f>
        <v>1.03764646464646</v>
      </c>
      <c r="Q36" s="12" t="n">
        <f aca="false">SUMIFS(Q$10:Q$23, $A$10:$A$23,$A36, $B$10:$B$23, "Actual")/SUMIFS(Q$10:Q$23, $A$10:$A$23,$A36, $B$10:$B$23, "Budgeted")</f>
        <v>0.916845809368909</v>
      </c>
      <c r="R36" s="12" t="n">
        <f aca="false">SUMIFS(R$10:R$23, $A$10:$A$23,$A36, $B$10:$B$23, "Actual")/SUMIFS(R$10:R$23, $A$10:$A$23,$A36, $B$10:$B$23, "Budgeted")</f>
        <v>0.720741737796789</v>
      </c>
      <c r="S36" s="12" t="n">
        <f aca="false">SUMIFS(S$10:S$23, $A$10:$A$23,$A36, $B$10:$B$23, "Actual")/SUMIFS(S$10:S$23, $A$10:$A$23,$A36, $B$10:$B$23, "Budgeted")</f>
        <v>0.698429559471778</v>
      </c>
      <c r="T36" s="12" t="n">
        <f aca="false">SUMIFS(T$10:T$23, $A$10:$A$23,$A36, $B$10:$B$23, "Actual")/SUMIFS(T$10:T$23, $A$10:$A$23,$A36, $B$10:$B$23, "Budgeted")</f>
        <v>0.311735856534232</v>
      </c>
      <c r="U36" s="12" t="n">
        <f aca="false">SUMIFS(U$10:U$23, $A$10:$A$23,$A36, $B$10:$B$23, "Actual")/SUMIFS(U$10:U$23, $A$10:$A$23,$A36, $B$10:$B$23, "Budgeted")</f>
        <v>0.748972698147374</v>
      </c>
      <c r="V36" s="12" t="n">
        <f aca="false">SUMIFS(V$10:V$23, $A$10:$A$23,$A36, $B$10:$B$23, "Actual")/SUMIFS(V$10:V$23, $A$10:$A$23,$A36, $B$10:$B$23, "Budgeted")</f>
        <v>0.274448937813735</v>
      </c>
      <c r="W36" s="12" t="n">
        <f aca="false">SUMIFS(W$10:W$23, $A$10:$A$23,$A36, $B$10:$B$23, "Actual")/SUMIFS(W$10:W$23, $A$10:$A$23,$A36, $B$10:$B$23, "Budgeted")</f>
        <v>0.896064426673546</v>
      </c>
      <c r="X36" s="12" t="n">
        <f aca="false">SUMIFS(X$10:X$23, $A$10:$A$23,$A36, $B$10:$B$23, "Actual")/SUMIFS(X$10:X$23, $A$10:$A$23,$A36, $B$10:$B$23, "Budgeted")</f>
        <v>1.05684043701937</v>
      </c>
      <c r="Y36" s="12" t="n">
        <f aca="false">SUMIFS(Y$10:Y$23, $A$10:$A$23,$A36, $B$10:$B$23, "Actual")/SUMIFS(Y$10:Y$23, $A$10:$A$23,$A36, $B$10:$B$23, "Budgeted")</f>
        <v>0.751861460960553</v>
      </c>
      <c r="Z36" s="12" t="n">
        <f aca="false">SUMIFS(Z$10:Z$23, $A$10:$A$23,$A36, $B$10:$B$23, "Actual")/SUMIFS(Z$10:Z$23, $A$10:$A$23,$A36, $B$10:$B$23, "Budgeted")</f>
        <v>0.684271342821482</v>
      </c>
      <c r="AA36" s="12" t="n">
        <f aca="false">SUMIFS(AA$10:AA$23, $A$10:$A$23,$A36, $B$10:$B$23, "Actual")/SUMIFS(AA$10:AA$23, $A$10:$A$23,$A36, $B$10:$B$23, "Budgeted")</f>
        <v>0.608564160746934</v>
      </c>
      <c r="AB36" s="12" t="n">
        <f aca="false">SUMIFS(AB$10:AB$23, $A$10:$A$23,$A36, $B$10:$B$23, "Actual")/SUMIFS(AB$10:AB$23, $A$10:$A$23,$A36, $B$10:$B$23, "Budgeted")</f>
        <v>0.507916752382912</v>
      </c>
      <c r="AC36" s="12" t="e">
        <f aca="false">SUMIFS(AC$10:AC$23, $A$10:$A$23,$A36, $B$10:$B$23, "Actual")/SUMIFS(AC$10:AC$23, $A$10:$A$23,$A36, $B$10:$B$23, "Budgeted")</f>
        <v>#DIV/0!</v>
      </c>
      <c r="AD36" s="12" t="n">
        <f aca="false">SUMIFS(AD$10:AD$23, $A$10:$A$23,$A36, $B$10:$B$23, "Actual")/SUMIFS(AD$10:AD$23, $A$10:$A$23,$A36, $B$10:$B$23, "Budgeted")</f>
        <v>1.21359357696567</v>
      </c>
      <c r="AE36" s="12" t="n">
        <f aca="false">SUMIFS(AE$10:AE$23, $A$10:$A$23,$A36, $B$10:$B$23, "Actual")/SUMIFS(AE$10:AE$23, $A$10:$A$23,$A36, $B$10:$B$23, "Budgeted")</f>
        <v>0.684901960784314</v>
      </c>
      <c r="AF36" s="12" t="n">
        <f aca="false">SUMIFS(AF$10:AF$23, $A$10:$A$23,$A36, $B$10:$B$23, "Actual")/SUMIFS(AF$10:AF$23, $A$10:$A$23,$A36, $B$10:$B$23, "Budgeted")</f>
        <v>0.867470588235294</v>
      </c>
      <c r="AG36" s="12" t="n">
        <f aca="false">SUMIFS(AG$10:AG$23, $A$10:$A$23,$A36, $B$10:$B$23, "Actual")/SUMIFS(AG$10:AG$23, $A$10:$A$23,$A36, $B$10:$B$23, "Budgeted")</f>
        <v>0</v>
      </c>
      <c r="AH36" s="12" t="n">
        <f aca="false">SUMIFS(AH$10:AH$23, $A$10:$A$23,$A36, $B$10:$B$23, "Actual")/SUMIFS(AH$10:AH$23, $A$10:$A$23,$A36, $B$10:$B$23, "Budgeted")</f>
        <v>0.540422574367529</v>
      </c>
      <c r="AI36" s="12" t="n">
        <f aca="false">SUMIFS(AI$10:AI$23, $A$10:$A$23,$A36, $B$10:$B$23, "Actual")/SUMIFS(AI$10:AI$23, $A$10:$A$23,$A36, $B$10:$B$23, "Budgeted")</f>
        <v>0.719742251223491</v>
      </c>
      <c r="AJ36" s="12" t="n">
        <f aca="false">SUMIFS(AJ$10:AJ$23, $A$10:$A$23,$A36, $B$10:$B$23, "Actual")/SUMIFS(AJ$10:AJ$23, $A$10:$A$23,$A36, $B$10:$B$23, "Budgeted")</f>
        <v>0.692775455619457</v>
      </c>
      <c r="AL36" s="12" t="n">
        <f aca="false">SUMIFS(AL$10:AL$23, $A$10:$A$23,$A36, $B$10:$B$23, "Actual")/SUMIFS(AL$10:AL$23, $A$10:$A$23,$A36, $B$10:$B$23, "Budgeted")</f>
        <v>0.710243445364437</v>
      </c>
      <c r="AM36" s="12" t="n">
        <f aca="false">SUMIFS(AM$10:AM$23, $A$10:$A$23,$A36, $B$10:$B$23, "Actual")/SUMIFS(AM$10:AM$23, $A$10:$A$23,$A36, $B$10:$B$23, "Budgeted")</f>
        <v>0.912847412033023</v>
      </c>
      <c r="AN36" s="12" t="n">
        <f aca="false">SUMIFS(AN$10:AN$23, $A$10:$A$23,$A36, $B$10:$B$23, "Actual")/SUMIFS(AN$10:AN$23, $A$10:$A$23,$A36, $B$10:$B$23, "Budgeted")</f>
        <v>0.64801143995892</v>
      </c>
      <c r="AO36" s="12" t="n">
        <f aca="false">SUMIFS(AO$10:AO$23, $A$10:$A$23,$A36, $B$10:$B$23, "Actual")/SUMIFS(AO$10:AO$23, $A$10:$A$23,$A36, $B$10:$B$23, "Budgeted")</f>
        <v>1.21359357696567</v>
      </c>
      <c r="AP36" s="12" t="n">
        <f aca="false">SUMIFS(AP$10:AP$23, $A$10:$A$23,$A36, $B$10:$B$23, "Actual")/SUMIFS(AP$10:AP$23, $A$10:$A$23,$A36, $B$10:$B$23, "Budgeted")</f>
        <v>0.526730592407724</v>
      </c>
      <c r="AR36" s="12" t="n">
        <f aca="false">SUMIFS(AR$10:AR$23, $A$10:$A$23,$A36, $B$10:$B$23, "Actual")/SUMIFS(AR$10:AR$23, $A$10:$A$23,$A36, $B$10:$B$23, "Budgeted")</f>
        <v>0.7123484969547</v>
      </c>
    </row>
    <row r="37" customFormat="false" ht="16.25" hidden="false" customHeight="false" outlineLevel="0" collapsed="false">
      <c r="A37" s="0" t="s">
        <v>50</v>
      </c>
      <c r="B37" s="0" t="s">
        <v>56</v>
      </c>
      <c r="C37" s="12" t="e">
        <f aca="false">SUMIFS(C$10:C$23, $A$10:$A$23,$A37, $B$10:$B$23, "Actual")/SUMIFS(C$10:C$23, $A$10:$A$23,$A37, $B$10:$B$23, "Budgeted")</f>
        <v>#DIV/0!</v>
      </c>
      <c r="D37" s="12" t="e">
        <f aca="false">SUMIFS(D$10:D$23, $A$10:$A$23,$A37, $B$10:$B$23, "Actual")/SUMIFS(D$10:D$23, $A$10:$A$23,$A37, $B$10:$B$23, "Budgeted")</f>
        <v>#DIV/0!</v>
      </c>
      <c r="E37" s="12" t="e">
        <f aca="false">SUMIFS(E$10:E$23, $A$10:$A$23,$A37, $B$10:$B$23, "Actual")/SUMIFS(E$10:E$23, $A$10:$A$23,$A37, $B$10:$B$23, "Budgeted")</f>
        <v>#DIV/0!</v>
      </c>
      <c r="F37" s="12" t="e">
        <f aca="false">SUMIFS(F$10:F$23, $A$10:$A$23,$A37, $B$10:$B$23, "Actual")/SUMIFS(F$10:F$23, $A$10:$A$23,$A37, $B$10:$B$23, "Budgeted")</f>
        <v>#DIV/0!</v>
      </c>
      <c r="G37" s="12" t="e">
        <f aca="false">SUMIFS(G$10:G$23, $A$10:$A$23,$A37, $B$10:$B$23, "Actual")/SUMIFS(G$10:G$23, $A$10:$A$23,$A37, $B$10:$B$23, "Budgeted")</f>
        <v>#DIV/0!</v>
      </c>
      <c r="H37" s="12" t="n">
        <f aca="false">SUMIFS(H$10:H$23, $A$10:$A$23,$A37, $B$10:$B$23, "Actual")/SUMIFS(H$10:H$23, $A$10:$A$23,$A37, $B$10:$B$23, "Budgeted")</f>
        <v>0.91491341991342</v>
      </c>
      <c r="I37" s="12" t="n">
        <f aca="false">SUMIFS(I$10:I$23, $A$10:$A$23,$A37, $B$10:$B$23, "Actual")/SUMIFS(I$10:I$23, $A$10:$A$23,$A37, $B$10:$B$23, "Budgeted")</f>
        <v>1.12775461584276</v>
      </c>
      <c r="J37" s="12" t="e">
        <f aca="false">SUMIFS(J$10:J$23, $A$10:$A$23,$A37, $B$10:$B$23, "Actual")/SUMIFS(J$10:J$23, $A$10:$A$23,$A37, $B$10:$B$23, "Budgeted")</f>
        <v>#DIV/0!</v>
      </c>
      <c r="K37" s="12" t="n">
        <f aca="false">SUMIFS(K$10:K$23, $A$10:$A$23,$A37, $B$10:$B$23, "Actual")/SUMIFS(K$10:K$23, $A$10:$A$23,$A37, $B$10:$B$23, "Budgeted")</f>
        <v>0.618616822429907</v>
      </c>
      <c r="L37" s="12" t="e">
        <f aca="false">SUMIFS(L$10:L$23, $A$10:$A$23,$A37, $B$10:$B$23, "Actual")/SUMIFS(L$10:L$23, $A$10:$A$23,$A37, $B$10:$B$23, "Budgeted")</f>
        <v>#DIV/0!</v>
      </c>
      <c r="M37" s="12" t="e">
        <f aca="false">SUMIFS(M$10:M$23, $A$10:$A$23,$A37, $B$10:$B$23, "Actual")/SUMIFS(M$10:M$23, $A$10:$A$23,$A37, $B$10:$B$23, "Budgeted")</f>
        <v>#DIV/0!</v>
      </c>
      <c r="N37" s="12" t="e">
        <f aca="false">SUMIFS(N$10:N$23, $A$10:$A$23,$A37, $B$10:$B$23, "Actual")/SUMIFS(N$10:N$23, $A$10:$A$23,$A37, $B$10:$B$23, "Budgeted")</f>
        <v>#DIV/0!</v>
      </c>
      <c r="O37" s="12" t="e">
        <f aca="false">SUMIFS(O$10:O$23, $A$10:$A$23,$A37, $B$10:$B$23, "Actual")/SUMIFS(O$10:O$23, $A$10:$A$23,$A37, $B$10:$B$23, "Budgeted")</f>
        <v>#DIV/0!</v>
      </c>
      <c r="P37" s="12" t="n">
        <f aca="false">SUMIFS(P$10:P$23, $A$10:$A$23,$A37, $B$10:$B$23, "Actual")/SUMIFS(P$10:P$23, $A$10:$A$23,$A37, $B$10:$B$23, "Budgeted")</f>
        <v>0</v>
      </c>
      <c r="Q37" s="12" t="n">
        <f aca="false">SUMIFS(Q$10:Q$23, $A$10:$A$23,$A37, $B$10:$B$23, "Actual")/SUMIFS(Q$10:Q$23, $A$10:$A$23,$A37, $B$10:$B$23, "Budgeted")</f>
        <v>0.267142857142857</v>
      </c>
      <c r="R37" s="12" t="e">
        <f aca="false">SUMIFS(R$10:R$23, $A$10:$A$23,$A37, $B$10:$B$23, "Actual")/SUMIFS(R$10:R$23, $A$10:$A$23,$A37, $B$10:$B$23, "Budgeted")</f>
        <v>#DIV/0!</v>
      </c>
      <c r="S37" s="12" t="e">
        <f aca="false">SUMIFS(S$10:S$23, $A$10:$A$23,$A37, $B$10:$B$23, "Actual")/SUMIFS(S$10:S$23, $A$10:$A$23,$A37, $B$10:$B$23, "Budgeted")</f>
        <v>#DIV/0!</v>
      </c>
      <c r="T37" s="12" t="n">
        <f aca="false">SUMIFS(T$10:T$23, $A$10:$A$23,$A37, $B$10:$B$23, "Actual")/SUMIFS(T$10:T$23, $A$10:$A$23,$A37, $B$10:$B$23, "Budgeted")</f>
        <v>0</v>
      </c>
      <c r="U37" s="12" t="n">
        <f aca="false">SUMIFS(U$10:U$23, $A$10:$A$23,$A37, $B$10:$B$23, "Actual")/SUMIFS(U$10:U$23, $A$10:$A$23,$A37, $B$10:$B$23, "Budgeted")</f>
        <v>1.0435034089841</v>
      </c>
      <c r="V37" s="12" t="n">
        <f aca="false">SUMIFS(V$10:V$23, $A$10:$A$23,$A37, $B$10:$B$23, "Actual")/SUMIFS(V$10:V$23, $A$10:$A$23,$A37, $B$10:$B$23, "Budgeted")</f>
        <v>0.16717619801085</v>
      </c>
      <c r="W37" s="12" t="n">
        <f aca="false">SUMIFS(W$10:W$23, $A$10:$A$23,$A37, $B$10:$B$23, "Actual")/SUMIFS(W$10:W$23, $A$10:$A$23,$A37, $B$10:$B$23, "Budgeted")</f>
        <v>0.895010705571877</v>
      </c>
      <c r="X37" s="12" t="n">
        <f aca="false">SUMIFS(X$10:X$23, $A$10:$A$23,$A37, $B$10:$B$23, "Actual")/SUMIFS(X$10:X$23, $A$10:$A$23,$A37, $B$10:$B$23, "Budgeted")</f>
        <v>0.777763832120971</v>
      </c>
      <c r="Y37" s="12" t="e">
        <f aca="false">SUMIFS(Y$10:Y$23, $A$10:$A$23,$A37, $B$10:$B$23, "Actual")/SUMIFS(Y$10:Y$23, $A$10:$A$23,$A37, $B$10:$B$23, "Budgeted")</f>
        <v>#DIV/0!</v>
      </c>
      <c r="Z37" s="12" t="n">
        <f aca="false">SUMIFS(Z$10:Z$23, $A$10:$A$23,$A37, $B$10:$B$23, "Actual")/SUMIFS(Z$10:Z$23, $A$10:$A$23,$A37, $B$10:$B$23, "Budgeted")</f>
        <v>0.73823323765364</v>
      </c>
      <c r="AA37" s="12" t="n">
        <f aca="false">SUMIFS(AA$10:AA$23, $A$10:$A$23,$A37, $B$10:$B$23, "Actual")/SUMIFS(AA$10:AA$23, $A$10:$A$23,$A37, $B$10:$B$23, "Budgeted")</f>
        <v>0.32241306727288</v>
      </c>
      <c r="AB37" s="12" t="n">
        <f aca="false">SUMIFS(AB$10:AB$23, $A$10:$A$23,$A37, $B$10:$B$23, "Actual")/SUMIFS(AB$10:AB$23, $A$10:$A$23,$A37, $B$10:$B$23, "Budgeted")</f>
        <v>0.227708659874608</v>
      </c>
      <c r="AC37" s="12" t="n">
        <f aca="false">SUMIFS(AC$10:AC$23, $A$10:$A$23,$A37, $B$10:$B$23, "Actual")/SUMIFS(AC$10:AC$23, $A$10:$A$23,$A37, $B$10:$B$23, "Budgeted")</f>
        <v>1.05944409183263</v>
      </c>
      <c r="AD37" s="12" t="e">
        <f aca="false">SUMIFS(AD$10:AD$23, $A$10:$A$23,$A37, $B$10:$B$23, "Actual")/SUMIFS(AD$10:AD$23, $A$10:$A$23,$A37, $B$10:$B$23, "Budgeted")</f>
        <v>#DIV/0!</v>
      </c>
      <c r="AE37" s="12" t="e">
        <f aca="false">SUMIFS(AE$10:AE$23, $A$10:$A$23,$A37, $B$10:$B$23, "Actual")/SUMIFS(AE$10:AE$23, $A$10:$A$23,$A37, $B$10:$B$23, "Budgeted")</f>
        <v>#DIV/0!</v>
      </c>
      <c r="AF37" s="12" t="e">
        <f aca="false">SUMIFS(AF$10:AF$23, $A$10:$A$23,$A37, $B$10:$B$23, "Actual")/SUMIFS(AF$10:AF$23, $A$10:$A$23,$A37, $B$10:$B$23, "Budgeted")</f>
        <v>#DIV/0!</v>
      </c>
      <c r="AG37" s="12" t="e">
        <f aca="false">SUMIFS(AG$10:AG$23, $A$10:$A$23,$A37, $B$10:$B$23, "Actual")/SUMIFS(AG$10:AG$23, $A$10:$A$23,$A37, $B$10:$B$23, "Budgeted")</f>
        <v>#DIV/0!</v>
      </c>
      <c r="AH37" s="12" t="e">
        <f aca="false">SUMIFS(AH$10:AH$23, $A$10:$A$23,$A37, $B$10:$B$23, "Actual")/SUMIFS(AH$10:AH$23, $A$10:$A$23,$A37, $B$10:$B$23, "Budgeted")</f>
        <v>#DIV/0!</v>
      </c>
      <c r="AI37" s="12" t="e">
        <f aca="false">SUMIFS(AI$10:AI$23, $A$10:$A$23,$A37, $B$10:$B$23, "Actual")/SUMIFS(AI$10:AI$23, $A$10:$A$23,$A37, $B$10:$B$23, "Budgeted")</f>
        <v>#DIV/0!</v>
      </c>
      <c r="AJ37" s="12" t="e">
        <f aca="false">SUMIFS(AJ$10:AJ$23, $A$10:$A$23,$A37, $B$10:$B$23, "Actual")/SUMIFS(AJ$10:AJ$23, $A$10:$A$23,$A37, $B$10:$B$23, "Budgeted")</f>
        <v>#DIV/0!</v>
      </c>
      <c r="AL37" s="12" t="n">
        <f aca="false">SUMIFS(AL$10:AL$23, $A$10:$A$23,$A37, $B$10:$B$23, "Actual")/SUMIFS(AL$10:AL$23, $A$10:$A$23,$A37, $B$10:$B$23, "Budgeted")</f>
        <v>0.947641725432732</v>
      </c>
      <c r="AM37" s="12" t="n">
        <f aca="false">SUMIFS(AM$10:AM$23, $A$10:$A$23,$A37, $B$10:$B$23, "Actual")/SUMIFS(AM$10:AM$23, $A$10:$A$23,$A37, $B$10:$B$23, "Budgeted")</f>
        <v>0.433093006488825</v>
      </c>
      <c r="AN37" s="12" t="n">
        <f aca="false">SUMIFS(AN$10:AN$23, $A$10:$A$23,$A37, $B$10:$B$23, "Actual")/SUMIFS(AN$10:AN$23, $A$10:$A$23,$A37, $B$10:$B$23, "Budgeted")</f>
        <v>0.612001964132643</v>
      </c>
      <c r="AO37" s="12" t="n">
        <f aca="false">SUMIFS(AO$10:AO$23, $A$10:$A$23,$A37, $B$10:$B$23, "Actual")/SUMIFS(AO$10:AO$23, $A$10:$A$23,$A37, $B$10:$B$23, "Budgeted")</f>
        <v>1.05944409183263</v>
      </c>
      <c r="AP37" s="12" t="e">
        <f aca="false">SUMIFS(AP$10:AP$23, $A$10:$A$23,$A37, $B$10:$B$23, "Actual")/SUMIFS(AP$10:AP$23, $A$10:$A$23,$A37, $B$10:$B$23, "Budgeted")</f>
        <v>#DIV/0!</v>
      </c>
      <c r="AR37" s="12" t="n">
        <f aca="false">SUMIFS(AR$10:AR$23, $A$10:$A$23,$A37, $B$10:$B$23, "Actual")/SUMIFS(AR$10:AR$23, $A$10:$A$23,$A37, $B$10:$B$23, "Budgeted")</f>
        <v>0.651115321361412</v>
      </c>
    </row>
    <row r="38" customFormat="false" ht="16.25" hidden="false" customHeight="false" outlineLevel="0" collapsed="false">
      <c r="A38" s="0" t="s">
        <v>51</v>
      </c>
      <c r="B38" s="0" t="s">
        <v>56</v>
      </c>
      <c r="C38" s="12" t="e">
        <f aca="false">SUMIFS(C$10:C$23, $A$10:$A$23,$A38, $B$10:$B$23, "Actual")/SUMIFS(C$10:C$23, $A$10:$A$23,$A38, $B$10:$B$23, "Budgeted")</f>
        <v>#DIV/0!</v>
      </c>
      <c r="D38" s="12" t="e">
        <f aca="false">SUMIFS(D$10:D$23, $A$10:$A$23,$A38, $B$10:$B$23, "Actual")/SUMIFS(D$10:D$23, $A$10:$A$23,$A38, $B$10:$B$23, "Budgeted")</f>
        <v>#DIV/0!</v>
      </c>
      <c r="E38" s="12" t="e">
        <f aca="false">SUMIFS(E$10:E$23, $A$10:$A$23,$A38, $B$10:$B$23, "Actual")/SUMIFS(E$10:E$23, $A$10:$A$23,$A38, $B$10:$B$23, "Budgeted")</f>
        <v>#DIV/0!</v>
      </c>
      <c r="F38" s="12" t="e">
        <f aca="false">SUMIFS(F$10:F$23, $A$10:$A$23,$A38, $B$10:$B$23, "Actual")/SUMIFS(F$10:F$23, $A$10:$A$23,$A38, $B$10:$B$23, "Budgeted")</f>
        <v>#DIV/0!</v>
      </c>
      <c r="G38" s="12" t="e">
        <f aca="false">SUMIFS(G$10:G$23, $A$10:$A$23,$A38, $B$10:$B$23, "Actual")/SUMIFS(G$10:G$23, $A$10:$A$23,$A38, $B$10:$B$23, "Budgeted")</f>
        <v>#DIV/0!</v>
      </c>
      <c r="H38" s="12" t="e">
        <f aca="false">SUMIFS(H$10:H$23, $A$10:$A$23,$A38, $B$10:$B$23, "Actual")/SUMIFS(H$10:H$23, $A$10:$A$23,$A38, $B$10:$B$23, "Budgeted")</f>
        <v>#DIV/0!</v>
      </c>
      <c r="I38" s="12" t="e">
        <f aca="false">SUMIFS(I$10:I$23, $A$10:$A$23,$A38, $B$10:$B$23, "Actual")/SUMIFS(I$10:I$23, $A$10:$A$23,$A38, $B$10:$B$23, "Budgeted")</f>
        <v>#DIV/0!</v>
      </c>
      <c r="J38" s="12" t="n">
        <f aca="false">SUMIFS(J$10:J$23, $A$10:$A$23,$A38, $B$10:$B$23, "Actual")/SUMIFS(J$10:J$23, $A$10:$A$23,$A38, $B$10:$B$23, "Budgeted")</f>
        <v>1.36147369269197</v>
      </c>
      <c r="K38" s="12" t="e">
        <f aca="false">SUMIFS(K$10:K$23, $A$10:$A$23,$A38, $B$10:$B$23, "Actual")/SUMIFS(K$10:K$23, $A$10:$A$23,$A38, $B$10:$B$23, "Budgeted")</f>
        <v>#DIV/0!</v>
      </c>
      <c r="L38" s="12" t="n">
        <f aca="false">SUMIFS(L$10:L$23, $A$10:$A$23,$A38, $B$10:$B$23, "Actual")/SUMIFS(L$10:L$23, $A$10:$A$23,$A38, $B$10:$B$23, "Budgeted")</f>
        <v>0</v>
      </c>
      <c r="M38" s="12" t="e">
        <f aca="false">SUMIFS(M$10:M$23, $A$10:$A$23,$A38, $B$10:$B$23, "Actual")/SUMIFS(M$10:M$23, $A$10:$A$23,$A38, $B$10:$B$23, "Budgeted")</f>
        <v>#DIV/0!</v>
      </c>
      <c r="N38" s="12" t="n">
        <f aca="false">SUMIFS(N$10:N$23, $A$10:$A$23,$A38, $B$10:$B$23, "Actual")/SUMIFS(N$10:N$23, $A$10:$A$23,$A38, $B$10:$B$23, "Budgeted")</f>
        <v>0</v>
      </c>
      <c r="O38" s="12" t="n">
        <f aca="false">SUMIFS(O$10:O$23, $A$10:$A$23,$A38, $B$10:$B$23, "Actual")/SUMIFS(O$10:O$23, $A$10:$A$23,$A38, $B$10:$B$23, "Budgeted")</f>
        <v>0.111668327864446</v>
      </c>
      <c r="P38" s="12" t="e">
        <f aca="false">SUMIFS(P$10:P$23, $A$10:$A$23,$A38, $B$10:$B$23, "Actual")/SUMIFS(P$10:P$23, $A$10:$A$23,$A38, $B$10:$B$23, "Budgeted")</f>
        <v>#DIV/0!</v>
      </c>
      <c r="Q38" s="12" t="e">
        <f aca="false">SUMIFS(Q$10:Q$23, $A$10:$A$23,$A38, $B$10:$B$23, "Actual")/SUMIFS(Q$10:Q$23, $A$10:$A$23,$A38, $B$10:$B$23, "Budgeted")</f>
        <v>#DIV/0!</v>
      </c>
      <c r="R38" s="12" t="e">
        <f aca="false">SUMIFS(R$10:R$23, $A$10:$A$23,$A38, $B$10:$B$23, "Actual")/SUMIFS(R$10:R$23, $A$10:$A$23,$A38, $B$10:$B$23, "Budgeted")</f>
        <v>#DIV/0!</v>
      </c>
      <c r="S38" s="12" t="e">
        <f aca="false">SUMIFS(S$10:S$23, $A$10:$A$23,$A38, $B$10:$B$23, "Actual")/SUMIFS(S$10:S$23, $A$10:$A$23,$A38, $B$10:$B$23, "Budgeted")</f>
        <v>#DIV/0!</v>
      </c>
      <c r="T38" s="12" t="n">
        <f aca="false">SUMIFS(T$10:T$23, $A$10:$A$23,$A38, $B$10:$B$23, "Actual")/SUMIFS(T$10:T$23, $A$10:$A$23,$A38, $B$10:$B$23, "Budgeted")</f>
        <v>0</v>
      </c>
      <c r="U38" s="12" t="e">
        <f aca="false">SUMIFS(U$10:U$23, $A$10:$A$23,$A38, $B$10:$B$23, "Actual")/SUMIFS(U$10:U$23, $A$10:$A$23,$A38, $B$10:$B$23, "Budgeted")</f>
        <v>#DIV/0!</v>
      </c>
      <c r="V38" s="12" t="n">
        <f aca="false">SUMIFS(V$10:V$23, $A$10:$A$23,$A38, $B$10:$B$23, "Actual")/SUMIFS(V$10:V$23, $A$10:$A$23,$A38, $B$10:$B$23, "Budgeted")</f>
        <v>0.30727498740131</v>
      </c>
      <c r="W38" s="12" t="e">
        <f aca="false">SUMIFS(W$10:W$23, $A$10:$A$23,$A38, $B$10:$B$23, "Actual")/SUMIFS(W$10:W$23, $A$10:$A$23,$A38, $B$10:$B$23, "Budgeted")</f>
        <v>#DIV/0!</v>
      </c>
      <c r="X38" s="12" t="e">
        <f aca="false">SUMIFS(X$10:X$23, $A$10:$A$23,$A38, $B$10:$B$23, "Actual")/SUMIFS(X$10:X$23, $A$10:$A$23,$A38, $B$10:$B$23, "Budgeted")</f>
        <v>#DIV/0!</v>
      </c>
      <c r="Y38" s="12" t="n">
        <f aca="false">SUMIFS(Y$10:Y$23, $A$10:$A$23,$A38, $B$10:$B$23, "Actual")/SUMIFS(Y$10:Y$23, $A$10:$A$23,$A38, $B$10:$B$23, "Budgeted")</f>
        <v>0</v>
      </c>
      <c r="Z38" s="12" t="e">
        <f aca="false">SUMIFS(Z$10:Z$23, $A$10:$A$23,$A38, $B$10:$B$23, "Actual")/SUMIFS(Z$10:Z$23, $A$10:$A$23,$A38, $B$10:$B$23, "Budgeted")</f>
        <v>#DIV/0!</v>
      </c>
      <c r="AA38" s="12" t="n">
        <f aca="false">SUMIFS(AA$10:AA$23, $A$10:$A$23,$A38, $B$10:$B$23, "Actual")/SUMIFS(AA$10:AA$23, $A$10:$A$23,$A38, $B$10:$B$23, "Budgeted")</f>
        <v>0</v>
      </c>
      <c r="AB38" s="12" t="n">
        <f aca="false">SUMIFS(AB$10:AB$23, $A$10:$A$23,$A38, $B$10:$B$23, "Actual")/SUMIFS(AB$10:AB$23, $A$10:$A$23,$A38, $B$10:$B$23, "Budgeted")</f>
        <v>0</v>
      </c>
      <c r="AC38" s="12" t="e">
        <f aca="false">SUMIFS(AC$10:AC$23, $A$10:$A$23,$A38, $B$10:$B$23, "Actual")/SUMIFS(AC$10:AC$23, $A$10:$A$23,$A38, $B$10:$B$23, "Budgeted")</f>
        <v>#DIV/0!</v>
      </c>
      <c r="AD38" s="12" t="e">
        <f aca="false">SUMIFS(AD$10:AD$23, $A$10:$A$23,$A38, $B$10:$B$23, "Actual")/SUMIFS(AD$10:AD$23, $A$10:$A$23,$A38, $B$10:$B$23, "Budgeted")</f>
        <v>#DIV/0!</v>
      </c>
      <c r="AE38" s="12" t="e">
        <f aca="false">SUMIFS(AE$10:AE$23, $A$10:$A$23,$A38, $B$10:$B$23, "Actual")/SUMIFS(AE$10:AE$23, $A$10:$A$23,$A38, $B$10:$B$23, "Budgeted")</f>
        <v>#DIV/0!</v>
      </c>
      <c r="AF38" s="12" t="e">
        <f aca="false">SUMIFS(AF$10:AF$23, $A$10:$A$23,$A38, $B$10:$B$23, "Actual")/SUMIFS(AF$10:AF$23, $A$10:$A$23,$A38, $B$10:$B$23, "Budgeted")</f>
        <v>#DIV/0!</v>
      </c>
      <c r="AG38" s="12" t="e">
        <f aca="false">SUMIFS(AG$10:AG$23, $A$10:$A$23,$A38, $B$10:$B$23, "Actual")/SUMIFS(AG$10:AG$23, $A$10:$A$23,$A38, $B$10:$B$23, "Budgeted")</f>
        <v>#DIV/0!</v>
      </c>
      <c r="AH38" s="12" t="e">
        <f aca="false">SUMIFS(AH$10:AH$23, $A$10:$A$23,$A38, $B$10:$B$23, "Actual")/SUMIFS(AH$10:AH$23, $A$10:$A$23,$A38, $B$10:$B$23, "Budgeted")</f>
        <v>#DIV/0!</v>
      </c>
      <c r="AI38" s="12" t="n">
        <f aca="false">SUMIFS(AI$10:AI$23, $A$10:$A$23,$A38, $B$10:$B$23, "Actual")/SUMIFS(AI$10:AI$23, $A$10:$A$23,$A38, $B$10:$B$23, "Budgeted")</f>
        <v>0</v>
      </c>
      <c r="AJ38" s="12" t="e">
        <f aca="false">SUMIFS(AJ$10:AJ$23, $A$10:$A$23,$A38, $B$10:$B$23, "Actual")/SUMIFS(AJ$10:AJ$23, $A$10:$A$23,$A38, $B$10:$B$23, "Budgeted")</f>
        <v>#DIV/0!</v>
      </c>
      <c r="AL38" s="12" t="n">
        <f aca="false">SUMIFS(AL$10:AL$23, $A$10:$A$23,$A38, $B$10:$B$23, "Actual")/SUMIFS(AL$10:AL$23, $A$10:$A$23,$A38, $B$10:$B$23, "Budgeted")</f>
        <v>1.36147369269197</v>
      </c>
      <c r="AM38" s="12" t="n">
        <f aca="false">SUMIFS(AM$10:AM$23, $A$10:$A$23,$A38, $B$10:$B$23, "Actual")/SUMIFS(AM$10:AM$23, $A$10:$A$23,$A38, $B$10:$B$23, "Budgeted")</f>
        <v>0.0743972829233644</v>
      </c>
      <c r="AN38" s="12" t="n">
        <f aca="false">SUMIFS(AN$10:AN$23, $A$10:$A$23,$A38, $B$10:$B$23, "Actual")/SUMIFS(AN$10:AN$23, $A$10:$A$23,$A38, $B$10:$B$23, "Budgeted")</f>
        <v>0.13618227916858</v>
      </c>
      <c r="AO38" s="12" t="e">
        <f aca="false">SUMIFS(AO$10:AO$23, $A$10:$A$23,$A38, $B$10:$B$23, "Actual")/SUMIFS(AO$10:AO$23, $A$10:$A$23,$A38, $B$10:$B$23, "Budgeted")</f>
        <v>#DIV/0!</v>
      </c>
      <c r="AP38" s="12" t="n">
        <f aca="false">SUMIFS(AP$10:AP$23, $A$10:$A$23,$A38, $B$10:$B$23, "Actual")/SUMIFS(AP$10:AP$23, $A$10:$A$23,$A38, $B$10:$B$23, "Budgeted")</f>
        <v>0</v>
      </c>
      <c r="AR38" s="12" t="n">
        <f aca="false">SUMIFS(AR$10:AR$23, $A$10:$A$23,$A38, $B$10:$B$23, "Actual")/SUMIFS(AR$10:AR$23, $A$10:$A$23,$A38, $B$10:$B$23, "Budgeted")</f>
        <v>0.127538312605508</v>
      </c>
    </row>
    <row r="39" customFormat="false" ht="12.75" hidden="false" customHeight="false" outlineLevel="0" collapsed="false">
      <c r="A39" s="0" t="s">
        <v>52</v>
      </c>
      <c r="B39" s="0" t="s">
        <v>56</v>
      </c>
      <c r="C39" s="12" t="n">
        <f aca="false">SUMIFS(C$10:C$23, $A$10:$A$23,$A39, $B$10:$B$23, "Actual")/SUMIFS(C$10:C$23, $A$10:$A$23,$A39, $B$10:$B$23, "Budgeted")</f>
        <v>1.64524809480254</v>
      </c>
      <c r="D39" s="12" t="n">
        <f aca="false">SUMIFS(D$10:D$23, $A$10:$A$23,$A39, $B$10:$B$23, "Actual")/SUMIFS(D$10:D$23, $A$10:$A$23,$A39, $B$10:$B$23, "Budgeted")</f>
        <v>1.508778435107</v>
      </c>
      <c r="E39" s="12" t="n">
        <f aca="false">SUMIFS(E$10:E$23, $A$10:$A$23,$A39, $B$10:$B$23, "Actual")/SUMIFS(E$10:E$23, $A$10:$A$23,$A39, $B$10:$B$23, "Budgeted")</f>
        <v>0.936650020380983</v>
      </c>
      <c r="F39" s="12" t="n">
        <f aca="false">SUMIFS(F$10:F$23, $A$10:$A$23,$A39, $B$10:$B$23, "Actual")/SUMIFS(F$10:F$23, $A$10:$A$23,$A39, $B$10:$B$23, "Budgeted")</f>
        <v>1.43545021341255</v>
      </c>
      <c r="G39" s="12" t="n">
        <f aca="false">SUMIFS(G$10:G$23, $A$10:$A$23,$A39, $B$10:$B$23, "Actual")/SUMIFS(G$10:G$23, $A$10:$A$23,$A39, $B$10:$B$23, "Budgeted")</f>
        <v>1.84385956688853</v>
      </c>
      <c r="H39" s="12" t="n">
        <f aca="false">SUMIFS(H$10:H$23, $A$10:$A$23,$A39, $B$10:$B$23, "Actual")/SUMIFS(H$10:H$23, $A$10:$A$23,$A39, $B$10:$B$23, "Budgeted")</f>
        <v>1.42872559435206</v>
      </c>
      <c r="I39" s="12" t="n">
        <f aca="false">SUMIFS(I$10:I$23, $A$10:$A$23,$A39, $B$10:$B$23, "Actual")/SUMIFS(I$10:I$23, $A$10:$A$23,$A39, $B$10:$B$23, "Budgeted")</f>
        <v>1.19540093102958</v>
      </c>
      <c r="J39" s="12" t="n">
        <f aca="false">SUMIFS(J$10:J$23, $A$10:$A$23,$A39, $B$10:$B$23, "Actual")/SUMIFS(J$10:J$23, $A$10:$A$23,$A39, $B$10:$B$23, "Budgeted")</f>
        <v>4.47429561216369</v>
      </c>
      <c r="K39" s="12" t="n">
        <f aca="false">SUMIFS(K$10:K$23, $A$10:$A$23,$A39, $B$10:$B$23, "Actual")/SUMIFS(K$10:K$23, $A$10:$A$23,$A39, $B$10:$B$23, "Budgeted")</f>
        <v>1.41747210205646</v>
      </c>
      <c r="L39" s="12" t="n">
        <f aca="false">SUMIFS(L$10:L$23, $A$10:$A$23,$A39, $B$10:$B$23, "Actual")/SUMIFS(L$10:L$23, $A$10:$A$23,$A39, $B$10:$B$23, "Budgeted")</f>
        <v>0.508656118712485</v>
      </c>
      <c r="M39" s="12" t="n">
        <f aca="false">SUMIFS(M$10:M$23, $A$10:$A$23,$A39, $B$10:$B$23, "Actual")/SUMIFS(M$10:M$23, $A$10:$A$23,$A39, $B$10:$B$23, "Budgeted")</f>
        <v>1.83401602886354</v>
      </c>
      <c r="N39" s="12" t="n">
        <f aca="false">SUMIFS(N$10:N$23, $A$10:$A$23,$A39, $B$10:$B$23, "Actual")/SUMIFS(N$10:N$23, $A$10:$A$23,$A39, $B$10:$B$23, "Budgeted")</f>
        <v>0.387691627154726</v>
      </c>
      <c r="O39" s="12" t="n">
        <f aca="false">SUMIFS(O$10:O$23, $A$10:$A$23,$A39, $B$10:$B$23, "Actual")/SUMIFS(O$10:O$23, $A$10:$A$23,$A39, $B$10:$B$23, "Budgeted")</f>
        <v>1.16698759019121</v>
      </c>
      <c r="P39" s="12" t="n">
        <f aca="false">SUMIFS(P$10:P$23, $A$10:$A$23,$A39, $B$10:$B$23, "Actual")/SUMIFS(P$10:P$23, $A$10:$A$23,$A39, $B$10:$B$23, "Budgeted")</f>
        <v>1.27351480293981</v>
      </c>
      <c r="Q39" s="12" t="n">
        <f aca="false">SUMIFS(Q$10:Q$23, $A$10:$A$23,$A39, $B$10:$B$23, "Actual")/SUMIFS(Q$10:Q$23, $A$10:$A$23,$A39, $B$10:$B$23, "Budgeted")</f>
        <v>1.10325155967256</v>
      </c>
      <c r="R39" s="12" t="n">
        <f aca="false">SUMIFS(R$10:R$23, $A$10:$A$23,$A39, $B$10:$B$23, "Actual")/SUMIFS(R$10:R$23, $A$10:$A$23,$A39, $B$10:$B$23, "Budgeted")</f>
        <v>2.17123689200749</v>
      </c>
      <c r="S39" s="12" t="n">
        <f aca="false">SUMIFS(S$10:S$23, $A$10:$A$23,$A39, $B$10:$B$23, "Actual")/SUMIFS(S$10:S$23, $A$10:$A$23,$A39, $B$10:$B$23, "Budgeted")</f>
        <v>1.88663351954631</v>
      </c>
      <c r="T39" s="12" t="n">
        <f aca="false">SUMIFS(T$10:T$23, $A$10:$A$23,$A39, $B$10:$B$23, "Actual")/SUMIFS(T$10:T$23, $A$10:$A$23,$A39, $B$10:$B$23, "Budgeted")</f>
        <v>0.898726861142775</v>
      </c>
      <c r="U39" s="12" t="n">
        <f aca="false">SUMIFS(U$10:U$23, $A$10:$A$23,$A39, $B$10:$B$23, "Actual")/SUMIFS(U$10:U$23, $A$10:$A$23,$A39, $B$10:$B$23, "Budgeted")</f>
        <v>2.32787342636822</v>
      </c>
      <c r="V39" s="12" t="n">
        <f aca="false">SUMIFS(V$10:V$23, $A$10:$A$23,$A39, $B$10:$B$23, "Actual")/SUMIFS(V$10:V$23, $A$10:$A$23,$A39, $B$10:$B$23, "Budgeted")</f>
        <v>0.618125257802832</v>
      </c>
      <c r="W39" s="12" t="n">
        <f aca="false">SUMIFS(W$10:W$23, $A$10:$A$23,$A39, $B$10:$B$23, "Actual")/SUMIFS(W$10:W$23, $A$10:$A$23,$A39, $B$10:$B$23, "Budgeted")</f>
        <v>0.91217375099769</v>
      </c>
      <c r="X39" s="12" t="n">
        <f aca="false">SUMIFS(X$10:X$23, $A$10:$A$23,$A39, $B$10:$B$23, "Actual")/SUMIFS(X$10:X$23, $A$10:$A$23,$A39, $B$10:$B$23, "Budgeted")</f>
        <v>1.48496282629436</v>
      </c>
      <c r="Y39" s="12" t="n">
        <f aca="false">SUMIFS(Y$10:Y$23, $A$10:$A$23,$A39, $B$10:$B$23, "Actual")/SUMIFS(Y$10:Y$23, $A$10:$A$23,$A39, $B$10:$B$23, "Budgeted")</f>
        <v>1.44029476308974</v>
      </c>
      <c r="Z39" s="12" t="n">
        <f aca="false">SUMIFS(Z$10:Z$23, $A$10:$A$23,$A39, $B$10:$B$23, "Actual")/SUMIFS(Z$10:Z$23, $A$10:$A$23,$A39, $B$10:$B$23, "Budgeted")</f>
        <v>1.64657454580701</v>
      </c>
      <c r="AA39" s="12" t="n">
        <f aca="false">SUMIFS(AA$10:AA$23, $A$10:$A$23,$A39, $B$10:$B$23, "Actual")/SUMIFS(AA$10:AA$23, $A$10:$A$23,$A39, $B$10:$B$23, "Budgeted")</f>
        <v>2.32176466461551</v>
      </c>
      <c r="AB39" s="12" t="n">
        <f aca="false">SUMIFS(AB$10:AB$23, $A$10:$A$23,$A39, $B$10:$B$23, "Actual")/SUMIFS(AB$10:AB$23, $A$10:$A$23,$A39, $B$10:$B$23, "Budgeted")</f>
        <v>1.35920506507211</v>
      </c>
      <c r="AC39" s="12" t="n">
        <f aca="false">SUMIFS(AC$10:AC$23, $A$10:$A$23,$A39, $B$10:$B$23, "Actual")/SUMIFS(AC$10:AC$23, $A$10:$A$23,$A39, $B$10:$B$23, "Budgeted")</f>
        <v>0.991352609760138</v>
      </c>
      <c r="AD39" s="12" t="n">
        <f aca="false">SUMIFS(AD$10:AD$23, $A$10:$A$23,$A39, $B$10:$B$23, "Actual")/SUMIFS(AD$10:AD$23, $A$10:$A$23,$A39, $B$10:$B$23, "Budgeted")</f>
        <v>0.732292081462871</v>
      </c>
      <c r="AE39" s="12" t="n">
        <f aca="false">SUMIFS(AE$10:AE$23, $A$10:$A$23,$A39, $B$10:$B$23, "Actual")/SUMIFS(AE$10:AE$23, $A$10:$A$23,$A39, $B$10:$B$23, "Budgeted")</f>
        <v>1.85090041475271</v>
      </c>
      <c r="AF39" s="12" t="n">
        <f aca="false">SUMIFS(AF$10:AF$23, $A$10:$A$23,$A39, $B$10:$B$23, "Actual")/SUMIFS(AF$10:AF$23, $A$10:$A$23,$A39, $B$10:$B$23, "Budgeted")</f>
        <v>1.66448106631606</v>
      </c>
      <c r="AG39" s="12" t="n">
        <f aca="false">SUMIFS(AG$10:AG$23, $A$10:$A$23,$A39, $B$10:$B$23, "Actual")/SUMIFS(AG$10:AG$23, $A$10:$A$23,$A39, $B$10:$B$23, "Budgeted")</f>
        <v>1.68024444063273</v>
      </c>
      <c r="AH39" s="12" t="n">
        <f aca="false">SUMIFS(AH$10:AH$23, $A$10:$A$23,$A39, $B$10:$B$23, "Actual")/SUMIFS(AH$10:AH$23, $A$10:$A$23,$A39, $B$10:$B$23, "Budgeted")</f>
        <v>1.11558648221813</v>
      </c>
      <c r="AI39" s="12" t="n">
        <f aca="false">SUMIFS(AI$10:AI$23, $A$10:$A$23,$A39, $B$10:$B$23, "Actual")/SUMIFS(AI$10:AI$23, $A$10:$A$23,$A39, $B$10:$B$23, "Budgeted")</f>
        <v>1.2132773431035</v>
      </c>
      <c r="AJ39" s="12" t="n">
        <f aca="false">SUMIFS(AJ$10:AJ$23, $A$10:$A$23,$A39, $B$10:$B$23, "Actual")/SUMIFS(AJ$10:AJ$23, $A$10:$A$23,$A39, $B$10:$B$23, "Budgeted")</f>
        <v>1.19910668462024</v>
      </c>
      <c r="AL39" s="12" t="n">
        <f aca="false">SUMIFS(AL$10:AL$23, $A$10:$A$23,$A39, $B$10:$B$23, "Actual")/SUMIFS(AL$10:AL$23, $A$10:$A$23,$A39, $B$10:$B$23, "Budgeted")</f>
        <v>1.47495378766978</v>
      </c>
      <c r="AM39" s="12" t="n">
        <f aca="false">SUMIFS(AM$10:AM$23, $A$10:$A$23,$A39, $B$10:$B$23, "Actual")/SUMIFS(AM$10:AM$23, $A$10:$A$23,$A39, $B$10:$B$23, "Budgeted")</f>
        <v>1.31219407741465</v>
      </c>
      <c r="AN39" s="12" t="n">
        <f aca="false">SUMIFS(AN$10:AN$23, $A$10:$A$23,$A39, $B$10:$B$23, "Actual")/SUMIFS(AN$10:AN$23, $A$10:$A$23,$A39, $B$10:$B$23, "Budgeted")</f>
        <v>1.28982265744694</v>
      </c>
      <c r="AO39" s="12" t="n">
        <f aca="false">SUMIFS(AO$10:AO$23, $A$10:$A$23,$A39, $B$10:$B$23, "Actual")/SUMIFS(AO$10:AO$23, $A$10:$A$23,$A39, $B$10:$B$23, "Budgeted")</f>
        <v>0.876852735832095</v>
      </c>
      <c r="AP39" s="12" t="n">
        <f aca="false">SUMIFS(AP$10:AP$23, $A$10:$A$23,$A39, $B$10:$B$23, "Actual")/SUMIFS(AP$10:AP$23, $A$10:$A$23,$A39, $B$10:$B$23, "Budgeted")</f>
        <v>1.40244013863236</v>
      </c>
      <c r="AR39" s="12" t="n">
        <f aca="false">SUMIFS(AR$10:AR$23, $A$10:$A$23,$A39, $B$10:$B$23, "Actual")/SUMIFS(AR$10:AR$23, $A$10:$A$23,$A39, $B$10:$B$23, "Budgeted")</f>
        <v>1.35610791829135</v>
      </c>
    </row>
    <row r="40" customFormat="false" ht="12.75" hidden="false" customHeight="false" outlineLevel="0" collapsed="false"/>
    <row r="41" customFormat="false" ht="16.25" hidden="false" customHeight="false" outlineLevel="0" collapsed="false">
      <c r="A41" s="0" t="s">
        <v>43</v>
      </c>
      <c r="B41" s="13" t="s">
        <v>57</v>
      </c>
      <c r="C41" s="12" t="n">
        <f aca="false">SUMIFS(C$10:C$23, $A$10:$A$23,$A41, $B$10:$B$23, "Actual")/C$31</f>
        <v>0.380478098848938</v>
      </c>
      <c r="D41" s="12" t="n">
        <f aca="false">SUMIFS(D$10:D$23, $A$10:$A$23,$A41, $B$10:$B$23, "Actual")/D$31</f>
        <v>0.188620751415758</v>
      </c>
      <c r="E41" s="12" t="n">
        <f aca="false">SUMIFS(E$10:E$23, $A$10:$A$23,$A41, $B$10:$B$23, "Actual")/E$31</f>
        <v>0.256033089556849</v>
      </c>
      <c r="F41" s="12" t="n">
        <f aca="false">SUMIFS(F$10:F$23, $A$10:$A$23,$A41, $B$10:$B$23, "Actual")/F$31</f>
        <v>0.393432624736394</v>
      </c>
      <c r="G41" s="12" t="n">
        <f aca="false">SUMIFS(G$10:G$23, $A$10:$A$23,$A41, $B$10:$B$23, "Actual")/G$31</f>
        <v>0</v>
      </c>
      <c r="H41" s="12" t="n">
        <f aca="false">SUMIFS(H$10:H$23, $A$10:$A$23,$A41, $B$10:$B$23, "Actual")/H$31</f>
        <v>0.315939128645806</v>
      </c>
      <c r="I41" s="12" t="n">
        <f aca="false">SUMIFS(I$10:I$23, $A$10:$A$23,$A41, $B$10:$B$23, "Actual")/I$31</f>
        <v>0.301720718223993</v>
      </c>
      <c r="J41" s="12" t="n">
        <f aca="false">SUMIFS(J$10:J$23, $A$10:$A$23,$A41, $B$10:$B$23, "Actual")/J$31</f>
        <v>0</v>
      </c>
      <c r="K41" s="12" t="n">
        <f aca="false">SUMIFS(K$10:K$23, $A$10:$A$23,$A41, $B$10:$B$23, "Actual")/K$31</f>
        <v>0.155071047512049</v>
      </c>
      <c r="L41" s="12" t="n">
        <f aca="false">SUMIFS(L$10:L$23, $A$10:$A$23,$A41, $B$10:$B$23, "Actual")/L$31</f>
        <v>0</v>
      </c>
      <c r="M41" s="12" t="n">
        <f aca="false">SUMIFS(M$10:M$23, $A$10:$A$23,$A41, $B$10:$B$23, "Actual")/M$31</f>
        <v>0.218218337434061</v>
      </c>
      <c r="N41" s="12" t="n">
        <f aca="false">SUMIFS(N$10:N$23, $A$10:$A$23,$A41, $B$10:$B$23, "Actual")/N$31</f>
        <v>0.00329899792265384</v>
      </c>
      <c r="O41" s="12" t="n">
        <f aca="false">SUMIFS(O$10:O$23, $A$10:$A$23,$A41, $B$10:$B$23, "Actual")/O$31</f>
        <v>0.262394262216071</v>
      </c>
      <c r="P41" s="12" t="n">
        <f aca="false">SUMIFS(P$10:P$23, $A$10:$A$23,$A41, $B$10:$B$23, "Actual")/P$31</f>
        <v>0.239829161194562</v>
      </c>
      <c r="Q41" s="12" t="n">
        <f aca="false">SUMIFS(Q$10:Q$23, $A$10:$A$23,$A41, $B$10:$B$23, "Actual")/Q$31</f>
        <v>0.269786586622956</v>
      </c>
      <c r="R41" s="12" t="n">
        <f aca="false">SUMIFS(R$10:R$23, $A$10:$A$23,$A41, $B$10:$B$23, "Actual")/R$31</f>
        <v>0.293213830892591</v>
      </c>
      <c r="S41" s="12" t="n">
        <f aca="false">SUMIFS(S$10:S$23, $A$10:$A$23,$A41, $B$10:$B$23, "Actual")/S$31</f>
        <v>0.227205340932263</v>
      </c>
      <c r="T41" s="12" t="n">
        <f aca="false">SUMIFS(T$10:T$23, $A$10:$A$23,$A41, $B$10:$B$23, "Actual")/T$31</f>
        <v>0.131051252804552</v>
      </c>
      <c r="U41" s="12" t="n">
        <f aca="false">SUMIFS(U$10:U$23, $A$10:$A$23,$A41, $B$10:$B$23, "Actual")/U$31</f>
        <v>0</v>
      </c>
      <c r="V41" s="12" t="n">
        <f aca="false">SUMIFS(V$10:V$23, $A$10:$A$23,$A41, $B$10:$B$23, "Actual")/V$31</f>
        <v>0.0654932747422774</v>
      </c>
      <c r="W41" s="12" t="n">
        <f aca="false">SUMIFS(W$10:W$23, $A$10:$A$23,$A41, $B$10:$B$23, "Actual")/W$31</f>
        <v>0.336801941348831</v>
      </c>
      <c r="X41" s="12" t="n">
        <f aca="false">SUMIFS(X$10:X$23, $A$10:$A$23,$A41, $B$10:$B$23, "Actual")/X$31</f>
        <v>0.281534159107873</v>
      </c>
      <c r="Y41" s="12" t="n">
        <f aca="false">SUMIFS(Y$10:Y$23, $A$10:$A$23,$A41, $B$10:$B$23, "Actual")/Y$31</f>
        <v>0.122225400514618</v>
      </c>
      <c r="Z41" s="12" t="n">
        <f aca="false">SUMIFS(Z$10:Z$23, $A$10:$A$23,$A41, $B$10:$B$23, "Actual")/Z$31</f>
        <v>0.131925840570813</v>
      </c>
      <c r="AA41" s="12" t="n">
        <f aca="false">SUMIFS(AA$10:AA$23, $A$10:$A$23,$A41, $B$10:$B$23, "Actual")/AA$31</f>
        <v>0.182831590133746</v>
      </c>
      <c r="AB41" s="12" t="n">
        <f aca="false">SUMIFS(AB$10:AB$23, $A$10:$A$23,$A41, $B$10:$B$23, "Actual")/AB$31</f>
        <v>0.159761140841425</v>
      </c>
      <c r="AC41" s="12" t="n">
        <f aca="false">SUMIFS(AC$10:AC$23, $A$10:$A$23,$A41, $B$10:$B$23, "Actual")/AC$31</f>
        <v>0</v>
      </c>
      <c r="AD41" s="12" t="n">
        <f aca="false">SUMIFS(AD$10:AD$23, $A$10:$A$23,$A41, $B$10:$B$23, "Actual")/AD$31</f>
        <v>0.221347277667078</v>
      </c>
      <c r="AE41" s="12" t="n">
        <f aca="false">SUMIFS(AE$10:AE$23, $A$10:$A$23,$A41, $B$10:$B$23, "Actual")/AE$31</f>
        <v>0.247820196940361</v>
      </c>
      <c r="AF41" s="12" t="n">
        <f aca="false">SUMIFS(AF$10:AF$23, $A$10:$A$23,$A41, $B$10:$B$23, "Actual")/AF$31</f>
        <v>0.374466746130802</v>
      </c>
      <c r="AG41" s="12" t="n">
        <f aca="false">SUMIFS(AG$10:AG$23, $A$10:$A$23,$A41, $B$10:$B$23, "Actual")/AG$31</f>
        <v>0.355825084065992</v>
      </c>
      <c r="AH41" s="12" t="n">
        <f aca="false">SUMIFS(AH$10:AH$23, $A$10:$A$23,$A41, $B$10:$B$23, "Actual")/AH$31</f>
        <v>0.221637596246252</v>
      </c>
      <c r="AI41" s="12" t="n">
        <f aca="false">SUMIFS(AI$10:AI$23, $A$10:$A$23,$A41, $B$10:$B$23, "Actual")/AI$31</f>
        <v>0.340552983036158</v>
      </c>
      <c r="AJ41" s="12" t="n">
        <f aca="false">SUMIFS(AJ$10:AJ$23, $A$10:$A$23,$A41, $B$10:$B$23, "Actual")/AJ$31</f>
        <v>0.265569257346866</v>
      </c>
      <c r="AK41" s="12"/>
      <c r="AL41" s="12" t="n">
        <f aca="false">SUMIFS(AL$10:AL$23, $A$10:$A$23,$A41, $B$10:$B$23, "Actual")/AL$31</f>
        <v>0.287718807526709</v>
      </c>
      <c r="AM41" s="12" t="n">
        <f aca="false">SUMIFS(AM$10:AM$23, $A$10:$A$23,$A41, $B$10:$B$23, "Actual")/AM$31</f>
        <v>0.238043740692397</v>
      </c>
      <c r="AN41" s="12" t="n">
        <f aca="false">SUMIFS(AN$10:AN$23, $A$10:$A$23,$A41, $B$10:$B$23, "Actual")/AN$31</f>
        <v>0.188638839669378</v>
      </c>
      <c r="AO41" s="12" t="n">
        <f aca="false">SUMIFS(AO$10:AO$23, $A$10:$A$23,$A41, $B$10:$B$23, "Actual")/AO$31</f>
        <v>0.112065236441656</v>
      </c>
      <c r="AP41" s="12" t="n">
        <f aca="false">SUMIFS(AP$10:AP$23, $A$10:$A$23,$A41, $B$10:$B$23, "Actual")/AP$31</f>
        <v>0.299163227668098</v>
      </c>
      <c r="AQ41" s="12"/>
      <c r="AR41" s="12" t="n">
        <f aca="false">SUMIFS(AR$10:AR$23, $A$10:$A$23,$A41, $B$10:$B$23, "Actual")/AR$31</f>
        <v>0.250887890465298</v>
      </c>
    </row>
    <row r="42" customFormat="false" ht="16.25" hidden="false" customHeight="false" outlineLevel="0" collapsed="false">
      <c r="A42" s="0" t="s">
        <v>47</v>
      </c>
      <c r="B42" s="13" t="s">
        <v>57</v>
      </c>
      <c r="C42" s="12" t="n">
        <f aca="false">SUMIFS(C$10:C$23, $A$10:$A$23,$A42, $B$10:$B$23, "Actual")/C$31</f>
        <v>0</v>
      </c>
      <c r="D42" s="12" t="n">
        <f aca="false">SUMIFS(D$10:D$23, $A$10:$A$23,$A42, $B$10:$B$23, "Actual")/D$31</f>
        <v>0</v>
      </c>
      <c r="E42" s="12" t="n">
        <f aca="false">SUMIFS(E$10:E$23, $A$10:$A$23,$A42, $B$10:$B$23, "Actual")/E$31</f>
        <v>0.113214742990871</v>
      </c>
      <c r="F42" s="12" t="n">
        <f aca="false">SUMIFS(F$10:F$23, $A$10:$A$23,$A42, $B$10:$B$23, "Actual")/F$31</f>
        <v>0</v>
      </c>
      <c r="G42" s="12" t="n">
        <f aca="false">SUMIFS(G$10:G$23, $A$10:$A$23,$A42, $B$10:$B$23, "Actual")/G$31</f>
        <v>0.0390914327621165</v>
      </c>
      <c r="H42" s="12" t="n">
        <f aca="false">SUMIFS(H$10:H$23, $A$10:$A$23,$A42, $B$10:$B$23, "Actual")/H$31</f>
        <v>0.0111529270408307</v>
      </c>
      <c r="I42" s="12" t="n">
        <f aca="false">SUMIFS(I$10:I$23, $A$10:$A$23,$A42, $B$10:$B$23, "Actual")/I$31</f>
        <v>0.0497677929486714</v>
      </c>
      <c r="J42" s="12" t="n">
        <f aca="false">SUMIFS(J$10:J$23, $A$10:$A$23,$A42, $B$10:$B$23, "Actual")/J$31</f>
        <v>0</v>
      </c>
      <c r="K42" s="12" t="n">
        <f aca="false">SUMIFS(K$10:K$23, $A$10:$A$23,$A42, $B$10:$B$23, "Actual")/K$31</f>
        <v>0.172886015033285</v>
      </c>
      <c r="L42" s="12" t="n">
        <f aca="false">SUMIFS(L$10:L$23, $A$10:$A$23,$A42, $B$10:$B$23, "Actual")/L$31</f>
        <v>0</v>
      </c>
      <c r="M42" s="12" t="n">
        <f aca="false">SUMIFS(M$10:M$23, $A$10:$A$23,$A42, $B$10:$B$23, "Actual")/M$31</f>
        <v>0</v>
      </c>
      <c r="N42" s="12" t="n">
        <f aca="false">SUMIFS(N$10:N$23, $A$10:$A$23,$A42, $B$10:$B$23, "Actual")/N$31</f>
        <v>0</v>
      </c>
      <c r="O42" s="12" t="n">
        <f aca="false">SUMIFS(O$10:O$23, $A$10:$A$23,$A42, $B$10:$B$23, "Actual")/O$31</f>
        <v>0.0842415436637845</v>
      </c>
      <c r="P42" s="12" t="n">
        <f aca="false">SUMIFS(P$10:P$23, $A$10:$A$23,$A42, $B$10:$B$23, "Actual")/P$31</f>
        <v>0.0728949020397258</v>
      </c>
      <c r="Q42" s="12" t="n">
        <f aca="false">SUMIFS(Q$10:Q$23, $A$10:$A$23,$A42, $B$10:$B$23, "Actual")/Q$31</f>
        <v>0.120151916525389</v>
      </c>
      <c r="R42" s="12" t="n">
        <f aca="false">SUMIFS(R$10:R$23, $A$10:$A$23,$A42, $B$10:$B$23, "Actual")/R$31</f>
        <v>0</v>
      </c>
      <c r="S42" s="12" t="n">
        <f aca="false">SUMIFS(S$10:S$23, $A$10:$A$23,$A42, $B$10:$B$23, "Actual")/S$31</f>
        <v>0.208336966910515</v>
      </c>
      <c r="T42" s="12" t="n">
        <f aca="false">SUMIFS(T$10:T$23, $A$10:$A$23,$A42, $B$10:$B$23, "Actual")/T$31</f>
        <v>0</v>
      </c>
      <c r="U42" s="12" t="n">
        <f aca="false">SUMIFS(U$10:U$23, $A$10:$A$23,$A42, $B$10:$B$23, "Actual")/U$31</f>
        <v>0</v>
      </c>
      <c r="V42" s="12" t="n">
        <f aca="false">SUMIFS(V$10:V$23, $A$10:$A$23,$A42, $B$10:$B$23, "Actual")/V$31</f>
        <v>0.0459769945674664</v>
      </c>
      <c r="W42" s="12" t="n">
        <f aca="false">SUMIFS(W$10:W$23, $A$10:$A$23,$A42, $B$10:$B$23, "Actual")/W$31</f>
        <v>0.00709744944036071</v>
      </c>
      <c r="X42" s="12" t="n">
        <f aca="false">SUMIFS(X$10:X$23, $A$10:$A$23,$A42, $B$10:$B$23, "Actual")/X$31</f>
        <v>0.0640499385956584</v>
      </c>
      <c r="Y42" s="12" t="n">
        <f aca="false">SUMIFS(Y$10:Y$23, $A$10:$A$23,$A42, $B$10:$B$23, "Actual")/Y$31</f>
        <v>0.104989837944696</v>
      </c>
      <c r="Z42" s="12" t="n">
        <f aca="false">SUMIFS(Z$10:Z$23, $A$10:$A$23,$A42, $B$10:$B$23, "Actual")/Z$31</f>
        <v>0.112965572071211</v>
      </c>
      <c r="AA42" s="12" t="n">
        <f aca="false">SUMIFS(AA$10:AA$23, $A$10:$A$23,$A42, $B$10:$B$23, "Actual")/AA$31</f>
        <v>0.0589261990386349</v>
      </c>
      <c r="AB42" s="12" t="n">
        <f aca="false">SUMIFS(AB$10:AB$23, $A$10:$A$23,$A42, $B$10:$B$23, "Actual")/AB$31</f>
        <v>0.114762689225587</v>
      </c>
      <c r="AC42" s="12" t="n">
        <f aca="false">SUMIFS(AC$10:AC$23, $A$10:$A$23,$A42, $B$10:$B$23, "Actual")/AC$31</f>
        <v>0.0472378651911563</v>
      </c>
      <c r="AD42" s="12" t="n">
        <f aca="false">SUMIFS(AD$10:AD$23, $A$10:$A$23,$A42, $B$10:$B$23, "Actual")/AD$31</f>
        <v>0.170141718193293</v>
      </c>
      <c r="AE42" s="12" t="n">
        <f aca="false">SUMIFS(AE$10:AE$23, $A$10:$A$23,$A42, $B$10:$B$23, "Actual")/AE$31</f>
        <v>0.127439944165522</v>
      </c>
      <c r="AF42" s="12" t="n">
        <f aca="false">SUMIFS(AF$10:AF$23, $A$10:$A$23,$A42, $B$10:$B$23, "Actual")/AF$31</f>
        <v>0.103323164419407</v>
      </c>
      <c r="AG42" s="12" t="n">
        <f aca="false">SUMIFS(AG$10:AG$23, $A$10:$A$23,$A42, $B$10:$B$23, "Actual")/AG$31</f>
        <v>0.108308890479341</v>
      </c>
      <c r="AH42" s="12" t="n">
        <f aca="false">SUMIFS(AH$10:AH$23, $A$10:$A$23,$A42, $B$10:$B$23, "Actual")/AH$31</f>
        <v>0.149395309757669</v>
      </c>
      <c r="AI42" s="12" t="n">
        <f aca="false">SUMIFS(AI$10:AI$23, $A$10:$A$23,$A42, $B$10:$B$23, "Actual")/AI$31</f>
        <v>0.124578753555512</v>
      </c>
      <c r="AJ42" s="12" t="n">
        <f aca="false">SUMIFS(AJ$10:AJ$23, $A$10:$A$23,$A42, $B$10:$B$23, "Actual")/AJ$31</f>
        <v>0.133783307630723</v>
      </c>
      <c r="AK42" s="12"/>
      <c r="AL42" s="12" t="n">
        <f aca="false">SUMIFS(AL$10:AL$23, $A$10:$A$23,$A42, $B$10:$B$23, "Actual")/AL$31</f>
        <v>0.0257312235673022</v>
      </c>
      <c r="AM42" s="12" t="n">
        <f aca="false">SUMIFS(AM$10:AM$23, $A$10:$A$23,$A42, $B$10:$B$23, "Actual")/AM$31</f>
        <v>0.103207685669591</v>
      </c>
      <c r="AN42" s="12" t="n">
        <f aca="false">SUMIFS(AN$10:AN$23, $A$10:$A$23,$A42, $B$10:$B$23, "Actual")/AN$31</f>
        <v>0.0639971183825191</v>
      </c>
      <c r="AO42" s="12" t="n">
        <f aca="false">SUMIFS(AO$10:AO$23, $A$10:$A$23,$A42, $B$10:$B$23, "Actual")/AO$31</f>
        <v>0.109462481149573</v>
      </c>
      <c r="AP42" s="12" t="n">
        <f aca="false">SUMIFS(AP$10:AP$23, $A$10:$A$23,$A42, $B$10:$B$23, "Actual")/AP$31</f>
        <v>0.125479505287244</v>
      </c>
      <c r="AQ42" s="12"/>
      <c r="AR42" s="12" t="n">
        <f aca="false">SUMIFS(AR$10:AR$23, $A$10:$A$23,$A42, $B$10:$B$23, "Actual")/AR$31</f>
        <v>0.0802669533284655</v>
      </c>
    </row>
    <row r="43" customFormat="false" ht="12.75" hidden="false" customHeight="false" outlineLevel="0" collapsed="false">
      <c r="A43" s="0" t="s">
        <v>48</v>
      </c>
      <c r="B43" s="13" t="s">
        <v>57</v>
      </c>
      <c r="C43" s="12" t="n">
        <f aca="false">SUMIFS(C$10:C$23, $A$10:$A$23,$A43, $B$10:$B$23, "Actual")/C$31</f>
        <v>0.255668933081392</v>
      </c>
      <c r="D43" s="12" t="n">
        <f aca="false">SUMIFS(D$10:D$23, $A$10:$A$23,$A43, $B$10:$B$23, "Actual")/D$31</f>
        <v>0.346480972139834</v>
      </c>
      <c r="E43" s="12" t="n">
        <f aca="false">SUMIFS(E$10:E$23, $A$10:$A$23,$A43, $B$10:$B$23, "Actual")/E$31</f>
        <v>0.360810736618596</v>
      </c>
      <c r="F43" s="12" t="n">
        <f aca="false">SUMIFS(F$10:F$23, $A$10:$A$23,$A43, $B$10:$B$23, "Actual")/F$31</f>
        <v>0.252584979202759</v>
      </c>
      <c r="G43" s="12" t="n">
        <f aca="false">SUMIFS(G$10:G$23, $A$10:$A$23,$A43, $B$10:$B$23, "Actual")/G$31</f>
        <v>0.177537550339913</v>
      </c>
      <c r="H43" s="12" t="n">
        <f aca="false">SUMIFS(H$10:H$23, $A$10:$A$23,$A43, $B$10:$B$23, "Actual")/H$31</f>
        <v>0.286180023894747</v>
      </c>
      <c r="I43" s="12" t="n">
        <f aca="false">SUMIFS(I$10:I$23, $A$10:$A$23,$A43, $B$10:$B$23, "Actual")/I$31</f>
        <v>0.193839411817884</v>
      </c>
      <c r="J43" s="12" t="n">
        <f aca="false">SUMIFS(J$10:J$23, $A$10:$A$23,$A43, $B$10:$B$23, "Actual")/J$31</f>
        <v>0.208391934546873</v>
      </c>
      <c r="K43" s="12" t="n">
        <f aca="false">SUMIFS(K$10:K$23, $A$10:$A$23,$A43, $B$10:$B$23, "Actual")/K$31</f>
        <v>0.284315059835747</v>
      </c>
      <c r="L43" s="12" t="n">
        <f aca="false">SUMIFS(L$10:L$23, $A$10:$A$23,$A43, $B$10:$B$23, "Actual")/L$31</f>
        <v>0.351640027270661</v>
      </c>
      <c r="M43" s="12" t="n">
        <f aca="false">SUMIFS(M$10:M$23, $A$10:$A$23,$A43, $B$10:$B$23, "Actual")/M$31</f>
        <v>0.318406556058706</v>
      </c>
      <c r="N43" s="12" t="n">
        <f aca="false">SUMIFS(N$10:N$23, $A$10:$A$23,$A43, $B$10:$B$23, "Actual")/N$31</f>
        <v>0.543893355721313</v>
      </c>
      <c r="O43" s="12" t="n">
        <f aca="false">SUMIFS(O$10:O$23, $A$10:$A$23,$A43, $B$10:$B$23, "Actual")/O$31</f>
        <v>0.285469121223003</v>
      </c>
      <c r="P43" s="12" t="n">
        <f aca="false">SUMIFS(P$10:P$23, $A$10:$A$23,$A43, $B$10:$B$23, "Actual")/P$31</f>
        <v>0.291408017507501</v>
      </c>
      <c r="Q43" s="12" t="n">
        <f aca="false">SUMIFS(Q$10:Q$23, $A$10:$A$23,$A43, $B$10:$B$23, "Actual")/Q$31</f>
        <v>0.294190815330769</v>
      </c>
      <c r="R43" s="12" t="n">
        <f aca="false">SUMIFS(R$10:R$23, $A$10:$A$23,$A43, $B$10:$B$23, "Actual")/R$31</f>
        <v>0.402084494285306</v>
      </c>
      <c r="S43" s="12" t="n">
        <f aca="false">SUMIFS(S$10:S$23, $A$10:$A$23,$A43, $B$10:$B$23, "Actual")/S$31</f>
        <v>0.259321573438365</v>
      </c>
      <c r="T43" s="12" t="n">
        <f aca="false">SUMIFS(T$10:T$23, $A$10:$A$23,$A43, $B$10:$B$23, "Actual")/T$31</f>
        <v>0.528669232022662</v>
      </c>
      <c r="U43" s="12" t="n">
        <f aca="false">SUMIFS(U$10:U$23, $A$10:$A$23,$A43, $B$10:$B$23, "Actual")/U$31</f>
        <v>0.326005688688954</v>
      </c>
      <c r="V43" s="12" t="n">
        <f aca="false">SUMIFS(V$10:V$23, $A$10:$A$23,$A43, $B$10:$B$23, "Actual")/V$31</f>
        <v>0.390788991203979</v>
      </c>
      <c r="W43" s="12" t="n">
        <f aca="false">SUMIFS(W$10:W$23, $A$10:$A$23,$A43, $B$10:$B$23, "Actual")/W$31</f>
        <v>0.265027457544035</v>
      </c>
      <c r="X43" s="12" t="n">
        <f aca="false">SUMIFS(X$10:X$23, $A$10:$A$23,$A43, $B$10:$B$23, "Actual")/X$31</f>
        <v>0.297939886268816</v>
      </c>
      <c r="Y43" s="12" t="n">
        <f aca="false">SUMIFS(Y$10:Y$23, $A$10:$A$23,$A43, $B$10:$B$23, "Actual")/Y$31</f>
        <v>0.397124537663539</v>
      </c>
      <c r="Z43" s="12" t="n">
        <f aca="false">SUMIFS(Z$10:Z$23, $A$10:$A$23,$A43, $B$10:$B$23, "Actual")/Z$31</f>
        <v>0.321405999979873</v>
      </c>
      <c r="AA43" s="12" t="n">
        <f aca="false">SUMIFS(AA$10:AA$23, $A$10:$A$23,$A43, $B$10:$B$23, "Actual")/AA$31</f>
        <v>0.260047812404642</v>
      </c>
      <c r="AB43" s="12" t="n">
        <f aca="false">SUMIFS(AB$10:AB$23, $A$10:$A$23,$A43, $B$10:$B$23, "Actual")/AB$31</f>
        <v>0.337315657006489</v>
      </c>
      <c r="AC43" s="12" t="n">
        <f aca="false">SUMIFS(AC$10:AC$23, $A$10:$A$23,$A43, $B$10:$B$23, "Actual")/AC$31</f>
        <v>0.391803708436905</v>
      </c>
      <c r="AD43" s="12" t="n">
        <f aca="false">SUMIFS(AD$10:AD$23, $A$10:$A$23,$A43, $B$10:$B$23, "Actual")/AD$31</f>
        <v>0.320648919747803</v>
      </c>
      <c r="AE43" s="12" t="n">
        <f aca="false">SUMIFS(AE$10:AE$23, $A$10:$A$23,$A43, $B$10:$B$23, "Actual")/AE$31</f>
        <v>0.235168966837022</v>
      </c>
      <c r="AF43" s="12" t="n">
        <f aca="false">SUMIFS(AF$10:AF$23, $A$10:$A$23,$A43, $B$10:$B$23, "Actual")/AF$31</f>
        <v>0.225723862518467</v>
      </c>
      <c r="AG43" s="12" t="n">
        <f aca="false">SUMIFS(AG$10:AG$23, $A$10:$A$23,$A43, $B$10:$B$23, "Actual")/AG$31</f>
        <v>0.209821232130453</v>
      </c>
      <c r="AH43" s="12" t="n">
        <f aca="false">SUMIFS(AH$10:AH$23, $A$10:$A$23,$A43, $B$10:$B$23, "Actual")/AH$31</f>
        <v>0.308683527126018</v>
      </c>
      <c r="AI43" s="12" t="n">
        <f aca="false">SUMIFS(AI$10:AI$23, $A$10:$A$23,$A43, $B$10:$B$23, "Actual")/AI$31</f>
        <v>0.241492215038633</v>
      </c>
      <c r="AJ43" s="12" t="n">
        <f aca="false">SUMIFS(AJ$10:AJ$23, $A$10:$A$23,$A43, $B$10:$B$23, "Actual")/AJ$31</f>
        <v>0.296458830886603</v>
      </c>
      <c r="AK43" s="12"/>
      <c r="AL43" s="12" t="n">
        <f aca="false">SUMIFS(AL$10:AL$23, $A$10:$A$23,$A43, $B$10:$B$23, "Actual")/AL$31</f>
        <v>0.271309559778701</v>
      </c>
      <c r="AM43" s="12" t="n">
        <f aca="false">SUMIFS(AM$10:AM$23, $A$10:$A$23,$A43, $B$10:$B$23, "Actual")/AM$31</f>
        <v>0.299820179033421</v>
      </c>
      <c r="AN43" s="12" t="n">
        <f aca="false">SUMIFS(AN$10:AN$23, $A$10:$A$23,$A43, $B$10:$B$23, "Actual")/AN$31</f>
        <v>0.332540702590455</v>
      </c>
      <c r="AO43" s="12" t="n">
        <f aca="false">SUMIFS(AO$10:AO$23, $A$10:$A$23,$A43, $B$10:$B$23, "Actual")/AO$31</f>
        <v>0.355778968026979</v>
      </c>
      <c r="AP43" s="12" t="n">
        <f aca="false">SUMIFS(AP$10:AP$23, $A$10:$A$23,$A43, $B$10:$B$23, "Actual")/AP$31</f>
        <v>0.253001816596105</v>
      </c>
      <c r="AQ43" s="12"/>
      <c r="AR43" s="12" t="n">
        <f aca="false">SUMIFS(AR$10:AR$23, $A$10:$A$23,$A43, $B$10:$B$23, "Actual")/AR$31</f>
        <v>0.290309193730953</v>
      </c>
    </row>
    <row r="44" customFormat="false" ht="16.25" hidden="false" customHeight="false" outlineLevel="0" collapsed="false">
      <c r="A44" s="0" t="s">
        <v>49</v>
      </c>
      <c r="B44" s="13" t="s">
        <v>57</v>
      </c>
      <c r="C44" s="12" t="n">
        <f aca="false">SUMIFS(C$10:C$23, $A$10:$A$23,$A44, $B$10:$B$23, "Actual")/C$31</f>
        <v>0.0666732769719623</v>
      </c>
      <c r="D44" s="12" t="n">
        <f aca="false">SUMIFS(D$10:D$23, $A$10:$A$23,$A44, $B$10:$B$23, "Actual")/D$31</f>
        <v>0.129945674597374</v>
      </c>
      <c r="E44" s="12" t="n">
        <f aca="false">SUMIFS(E$10:E$23, $A$10:$A$23,$A44, $B$10:$B$23, "Actual")/E$31</f>
        <v>0.0757734494127833</v>
      </c>
      <c r="F44" s="12" t="n">
        <f aca="false">SUMIFS(F$10:F$23, $A$10:$A$23,$A44, $B$10:$B$23, "Actual")/F$31</f>
        <v>0.038176672136716</v>
      </c>
      <c r="G44" s="12" t="n">
        <f aca="false">SUMIFS(G$10:G$23, $A$10:$A$23,$A44, $B$10:$B$23, "Actual")/G$31</f>
        <v>0.184439859822215</v>
      </c>
      <c r="H44" s="12" t="n">
        <f aca="false">SUMIFS(H$10:H$23, $A$10:$A$23,$A44, $B$10:$B$23, "Actual")/H$31</f>
        <v>0.0508715360448957</v>
      </c>
      <c r="I44" s="12" t="n">
        <f aca="false">SUMIFS(I$10:I$23, $A$10:$A$23,$A44, $B$10:$B$23, "Actual")/I$31</f>
        <v>0.0529988326661796</v>
      </c>
      <c r="J44" s="12" t="n">
        <f aca="false">SUMIFS(J$10:J$23, $A$10:$A$23,$A44, $B$10:$B$23, "Actual")/J$31</f>
        <v>0.0315203158325947</v>
      </c>
      <c r="K44" s="12" t="n">
        <f aca="false">SUMIFS(K$10:K$23, $A$10:$A$23,$A44, $B$10:$B$23, "Actual")/K$31</f>
        <v>0.0698736504346408</v>
      </c>
      <c r="L44" s="12" t="n">
        <f aca="false">SUMIFS(L$10:L$23, $A$10:$A$23,$A44, $B$10:$B$23, "Actual")/L$31</f>
        <v>0</v>
      </c>
      <c r="M44" s="12" t="n">
        <f aca="false">SUMIFS(M$10:M$23, $A$10:$A$23,$A44, $B$10:$B$23, "Actual")/M$31</f>
        <v>0.123883469120083</v>
      </c>
      <c r="N44" s="12" t="n">
        <f aca="false">SUMIFS(N$10:N$23, $A$10:$A$23,$A44, $B$10:$B$23, "Actual")/N$31</f>
        <v>0</v>
      </c>
      <c r="O44" s="12" t="n">
        <f aca="false">SUMIFS(O$10:O$23, $A$10:$A$23,$A44, $B$10:$B$23, "Actual")/O$31</f>
        <v>0.0611901013026552</v>
      </c>
      <c r="P44" s="12" t="n">
        <f aca="false">SUMIFS(P$10:P$23, $A$10:$A$23,$A44, $B$10:$B$23, "Actual")/P$31</f>
        <v>0.0415241292027078</v>
      </c>
      <c r="Q44" s="12" t="n">
        <f aca="false">SUMIFS(Q$10:Q$23, $A$10:$A$23,$A44, $B$10:$B$23, "Actual")/Q$31</f>
        <v>0.0314121866669376</v>
      </c>
      <c r="R44" s="12" t="n">
        <f aca="false">SUMIFS(R$10:R$23, $A$10:$A$23,$A44, $B$10:$B$23, "Actual")/R$31</f>
        <v>0.0715444047066532</v>
      </c>
      <c r="S44" s="12" t="n">
        <f aca="false">SUMIFS(S$10:S$23, $A$10:$A$23,$A44, $B$10:$B$23, "Actual")/S$31</f>
        <v>0.032620889932445</v>
      </c>
      <c r="T44" s="12" t="n">
        <f aca="false">SUMIFS(T$10:T$23, $A$10:$A$23,$A44, $B$10:$B$23, "Actual")/T$31</f>
        <v>0.0315498677630012</v>
      </c>
      <c r="U44" s="12" t="n">
        <f aca="false">SUMIFS(U$10:U$23, $A$10:$A$23,$A44, $B$10:$B$23, "Actual")/U$31</f>
        <v>0.146772406036998</v>
      </c>
      <c r="V44" s="12" t="n">
        <f aca="false">SUMIFS(V$10:V$23, $A$10:$A$23,$A44, $B$10:$B$23, "Actual")/V$31</f>
        <v>0.0563330226083132</v>
      </c>
      <c r="W44" s="12" t="n">
        <f aca="false">SUMIFS(W$10:W$23, $A$10:$A$23,$A44, $B$10:$B$23, "Actual")/W$31</f>
        <v>0.0490879502562483</v>
      </c>
      <c r="X44" s="12" t="n">
        <f aca="false">SUMIFS(X$10:X$23, $A$10:$A$23,$A44, $B$10:$B$23, "Actual")/X$31</f>
        <v>0.0397376788001028</v>
      </c>
      <c r="Y44" s="12" t="n">
        <f aca="false">SUMIFS(Y$10:Y$23, $A$10:$A$23,$A44, $B$10:$B$23, "Actual")/Y$31</f>
        <v>0.124181930766173</v>
      </c>
      <c r="Z44" s="12" t="n">
        <f aca="false">SUMIFS(Z$10:Z$23, $A$10:$A$23,$A44, $B$10:$B$23, "Actual")/Z$31</f>
        <v>0.0390348405406221</v>
      </c>
      <c r="AA44" s="12" t="n">
        <f aca="false">SUMIFS(AA$10:AA$23, $A$10:$A$23,$A44, $B$10:$B$23, "Actual")/AA$31</f>
        <v>0.0525502757231923</v>
      </c>
      <c r="AB44" s="12" t="n">
        <f aca="false">SUMIFS(AB$10:AB$23, $A$10:$A$23,$A44, $B$10:$B$23, "Actual")/AB$31</f>
        <v>0.0495412702903538</v>
      </c>
      <c r="AC44" s="12" t="n">
        <f aca="false">SUMIFS(AC$10:AC$23, $A$10:$A$23,$A44, $B$10:$B$23, "Actual")/AC$31</f>
        <v>0</v>
      </c>
      <c r="AD44" s="12" t="n">
        <f aca="false">SUMIFS(AD$10:AD$23, $A$10:$A$23,$A44, $B$10:$B$23, "Actual")/AD$31</f>
        <v>0.0933816911384855</v>
      </c>
      <c r="AE44" s="12" t="n">
        <f aca="false">SUMIFS(AE$10:AE$23, $A$10:$A$23,$A44, $B$10:$B$23, "Actual")/AE$31</f>
        <v>0.0245753315172119</v>
      </c>
      <c r="AF44" s="12" t="n">
        <f aca="false">SUMIFS(AF$10:AF$23, $A$10:$A$23,$A44, $B$10:$B$23, "Actual")/AF$31</f>
        <v>0.0388127520052217</v>
      </c>
      <c r="AG44" s="12" t="n">
        <f aca="false">SUMIFS(AG$10:AG$23, $A$10:$A$23,$A44, $B$10:$B$23, "Actual")/AG$31</f>
        <v>0</v>
      </c>
      <c r="AH44" s="12" t="n">
        <f aca="false">SUMIFS(AH$10:AH$23, $A$10:$A$23,$A44, $B$10:$B$23, "Actual")/AH$31</f>
        <v>0.0196686471908712</v>
      </c>
      <c r="AI44" s="12" t="n">
        <f aca="false">SUMIFS(AI$10:AI$23, $A$10:$A$23,$A44, $B$10:$B$23, "Actual")/AI$31</f>
        <v>0.0309667636607939</v>
      </c>
      <c r="AJ44" s="12" t="n">
        <f aca="false">SUMIFS(AJ$10:AJ$23, $A$10:$A$23,$A44, $B$10:$B$23, "Actual")/AJ$31</f>
        <v>0.0217204917302275</v>
      </c>
      <c r="AK44" s="12"/>
      <c r="AL44" s="12" t="n">
        <f aca="false">SUMIFS(AL$10:AL$23, $A$10:$A$23,$A44, $B$10:$B$23, "Actual")/AL$31</f>
        <v>0.074023327076526</v>
      </c>
      <c r="AM44" s="12" t="n">
        <f aca="false">SUMIFS(AM$10:AM$23, $A$10:$A$23,$A44, $B$10:$B$23, "Actual")/AM$31</f>
        <v>0.0546266895188891</v>
      </c>
      <c r="AN44" s="12" t="n">
        <f aca="false">SUMIFS(AN$10:AN$23, $A$10:$A$23,$A44, $B$10:$B$23, "Actual")/AN$31</f>
        <v>0.0610870014585047</v>
      </c>
      <c r="AO44" s="12" t="n">
        <f aca="false">SUMIFS(AO$10:AO$23, $A$10:$A$23,$A44, $B$10:$B$23, "Actual")/AO$31</f>
        <v>0.0472779308923595</v>
      </c>
      <c r="AP44" s="12" t="n">
        <f aca="false">SUMIFS(AP$10:AP$23, $A$10:$A$23,$A44, $B$10:$B$23, "Actual")/AP$31</f>
        <v>0.0221890077386114</v>
      </c>
      <c r="AQ44" s="12"/>
      <c r="AR44" s="12" t="n">
        <f aca="false">SUMIFS(AR$10:AR$23, $A$10:$A$23,$A44, $B$10:$B$23, "Actual")/AR$31</f>
        <v>0.052919083301413</v>
      </c>
    </row>
    <row r="45" customFormat="false" ht="16.25" hidden="false" customHeight="false" outlineLevel="0" collapsed="false">
      <c r="A45" s="0" t="s">
        <v>50</v>
      </c>
      <c r="B45" s="13" t="s">
        <v>57</v>
      </c>
      <c r="C45" s="12" t="n">
        <f aca="false">SUMIFS(C$10:C$23, $A$10:$A$23,$A45, $B$10:$B$23, "Actual")/C$31</f>
        <v>0</v>
      </c>
      <c r="D45" s="12" t="n">
        <f aca="false">SUMIFS(D$10:D$23, $A$10:$A$23,$A45, $B$10:$B$23, "Actual")/D$31</f>
        <v>0</v>
      </c>
      <c r="E45" s="12" t="n">
        <f aca="false">SUMIFS(E$10:E$23, $A$10:$A$23,$A45, $B$10:$B$23, "Actual")/E$31</f>
        <v>0</v>
      </c>
      <c r="F45" s="12" t="n">
        <f aca="false">SUMIFS(F$10:F$23, $A$10:$A$23,$A45, $B$10:$B$23, "Actual")/F$31</f>
        <v>0</v>
      </c>
      <c r="G45" s="12" t="n">
        <f aca="false">SUMIFS(G$10:G$23, $A$10:$A$23,$A45, $B$10:$B$23, "Actual")/G$31</f>
        <v>0</v>
      </c>
      <c r="H45" s="12" t="n">
        <f aca="false">SUMIFS(H$10:H$23, $A$10:$A$23,$A45, $B$10:$B$23, "Actual")/H$31</f>
        <v>0.0185220443614991</v>
      </c>
      <c r="I45" s="12" t="n">
        <f aca="false">SUMIFS(I$10:I$23, $A$10:$A$23,$A45, $B$10:$B$23, "Actual")/I$31</f>
        <v>0.00467699235922463</v>
      </c>
      <c r="J45" s="12" t="n">
        <f aca="false">SUMIFS(J$10:J$23, $A$10:$A$23,$A45, $B$10:$B$23, "Actual")/J$31</f>
        <v>0</v>
      </c>
      <c r="K45" s="12" t="n">
        <f aca="false">SUMIFS(K$10:K$23, $A$10:$A$23,$A45, $B$10:$B$23, "Actual")/K$31</f>
        <v>0.0152953244028961</v>
      </c>
      <c r="L45" s="12" t="n">
        <f aca="false">SUMIFS(L$10:L$23, $A$10:$A$23,$A45, $B$10:$B$23, "Actual")/L$31</f>
        <v>0</v>
      </c>
      <c r="M45" s="12" t="n">
        <f aca="false">SUMIFS(M$10:M$23, $A$10:$A$23,$A45, $B$10:$B$23, "Actual")/M$31</f>
        <v>0</v>
      </c>
      <c r="N45" s="12" t="n">
        <f aca="false">SUMIFS(N$10:N$23, $A$10:$A$23,$A45, $B$10:$B$23, "Actual")/N$31</f>
        <v>0</v>
      </c>
      <c r="O45" s="12" t="n">
        <f aca="false">SUMIFS(O$10:O$23, $A$10:$A$23,$A45, $B$10:$B$23, "Actual")/O$31</f>
        <v>0</v>
      </c>
      <c r="P45" s="12" t="n">
        <f aca="false">SUMIFS(P$10:P$23, $A$10:$A$23,$A45, $B$10:$B$23, "Actual")/P$31</f>
        <v>0</v>
      </c>
      <c r="Q45" s="12" t="n">
        <f aca="false">SUMIFS(Q$10:Q$23, $A$10:$A$23,$A45, $B$10:$B$23, "Actual")/Q$31</f>
        <v>0.00446989068487928</v>
      </c>
      <c r="R45" s="12" t="n">
        <f aca="false">SUMIFS(R$10:R$23, $A$10:$A$23,$A45, $B$10:$B$23, "Actual")/R$31</f>
        <v>0</v>
      </c>
      <c r="S45" s="12" t="n">
        <f aca="false">SUMIFS(S$10:S$23, $A$10:$A$23,$A45, $B$10:$B$23, "Actual")/S$31</f>
        <v>0</v>
      </c>
      <c r="T45" s="12" t="n">
        <f aca="false">SUMIFS(T$10:T$23, $A$10:$A$23,$A45, $B$10:$B$23, "Actual")/T$31</f>
        <v>0</v>
      </c>
      <c r="U45" s="12" t="n">
        <f aca="false">SUMIFS(U$10:U$23, $A$10:$A$23,$A45, $B$10:$B$23, "Actual")/U$31</f>
        <v>0.196985868357623</v>
      </c>
      <c r="V45" s="12" t="n">
        <f aca="false">SUMIFS(V$10:V$23, $A$10:$A$23,$A45, $B$10:$B$23, "Actual")/V$31</f>
        <v>0.029043708161956</v>
      </c>
      <c r="W45" s="12" t="n">
        <f aca="false">SUMIFS(W$10:W$23, $A$10:$A$23,$A45, $B$10:$B$23, "Actual")/W$31</f>
        <v>0.0555649276520764</v>
      </c>
      <c r="X45" s="12" t="n">
        <f aca="false">SUMIFS(X$10:X$23, $A$10:$A$23,$A45, $B$10:$B$23, "Actual")/X$31</f>
        <v>0.0440061103302095</v>
      </c>
      <c r="Y45" s="12" t="n">
        <f aca="false">SUMIFS(Y$10:Y$23, $A$10:$A$23,$A45, $B$10:$B$23, "Actual")/Y$31</f>
        <v>0</v>
      </c>
      <c r="Z45" s="12" t="n">
        <f aca="false">SUMIFS(Z$10:Z$23, $A$10:$A$23,$A45, $B$10:$B$23, "Actual")/Z$31</f>
        <v>0.121131260881379</v>
      </c>
      <c r="AA45" s="12" t="n">
        <f aca="false">SUMIFS(AA$10:AA$23, $A$10:$A$23,$A45, $B$10:$B$23, "Actual")/AA$31</f>
        <v>0.0119477969913505</v>
      </c>
      <c r="AB45" s="12" t="n">
        <f aca="false">SUMIFS(AB$10:AB$23, $A$10:$A$23,$A45, $B$10:$B$23, "Actual")/AB$31</f>
        <v>0.0155470478032676</v>
      </c>
      <c r="AC45" s="12" t="n">
        <f aca="false">SUMIFS(AC$10:AC$23, $A$10:$A$23,$A45, $B$10:$B$23, "Actual")/AC$31</f>
        <v>0.220089941219886</v>
      </c>
      <c r="AD45" s="12" t="n">
        <f aca="false">SUMIFS(AD$10:AD$23, $A$10:$A$23,$A45, $B$10:$B$23, "Actual")/AD$31</f>
        <v>0</v>
      </c>
      <c r="AE45" s="12" t="n">
        <f aca="false">SUMIFS(AE$10:AE$23, $A$10:$A$23,$A45, $B$10:$B$23, "Actual")/AE$31</f>
        <v>0</v>
      </c>
      <c r="AF45" s="12" t="n">
        <f aca="false">SUMIFS(AF$10:AF$23, $A$10:$A$23,$A45, $B$10:$B$23, "Actual")/AF$31</f>
        <v>0</v>
      </c>
      <c r="AG45" s="12" t="n">
        <f aca="false">SUMIFS(AG$10:AG$23, $A$10:$A$23,$A45, $B$10:$B$23, "Actual")/AG$31</f>
        <v>0</v>
      </c>
      <c r="AH45" s="12" t="n">
        <f aca="false">SUMIFS(AH$10:AH$23, $A$10:$A$23,$A45, $B$10:$B$23, "Actual")/AH$31</f>
        <v>0</v>
      </c>
      <c r="AI45" s="12" t="n">
        <f aca="false">SUMIFS(AI$10:AI$23, $A$10:$A$23,$A45, $B$10:$B$23, "Actual")/AI$31</f>
        <v>0</v>
      </c>
      <c r="AJ45" s="12" t="n">
        <f aca="false">SUMIFS(AJ$10:AJ$23, $A$10:$A$23,$A45, $B$10:$B$23, "Actual")/AJ$31</f>
        <v>0</v>
      </c>
      <c r="AK45" s="12"/>
      <c r="AL45" s="12" t="n">
        <f aca="false">SUMIFS(AL$10:AL$23, $A$10:$A$23,$A45, $B$10:$B$23, "Actual")/AL$31</f>
        <v>0.00320584954067863</v>
      </c>
      <c r="AM45" s="12" t="n">
        <f aca="false">SUMIFS(AM$10:AM$23, $A$10:$A$23,$A45, $B$10:$B$23, "Actual")/AM$31</f>
        <v>0.00292475339130134</v>
      </c>
      <c r="AN45" s="12" t="n">
        <f aca="false">SUMIFS(AN$10:AN$23, $A$10:$A$23,$A45, $B$10:$B$23, "Actual")/AN$31</f>
        <v>0.0465082059161382</v>
      </c>
      <c r="AO45" s="12" t="n">
        <f aca="false">SUMIFS(AO$10:AO$23, $A$10:$A$23,$A45, $B$10:$B$23, "Actual")/AO$31</f>
        <v>0.108661277803778</v>
      </c>
      <c r="AP45" s="12" t="n">
        <f aca="false">SUMIFS(AP$10:AP$23, $A$10:$A$23,$A45, $B$10:$B$23, "Actual")/AP$31</f>
        <v>0</v>
      </c>
      <c r="AQ45" s="12"/>
      <c r="AR45" s="12" t="n">
        <f aca="false">SUMIFS(AR$10:AR$23, $A$10:$A$23,$A45, $B$10:$B$23, "Actual")/AR$31</f>
        <v>0.0147814139658959</v>
      </c>
    </row>
    <row r="46" customFormat="false" ht="16.25" hidden="false" customHeight="false" outlineLevel="0" collapsed="false">
      <c r="A46" s="0" t="s">
        <v>51</v>
      </c>
      <c r="B46" s="13" t="s">
        <v>57</v>
      </c>
      <c r="C46" s="12" t="n">
        <f aca="false">SUMIFS(C$10:C$23, $A$10:$A$23,$A46, $B$10:$B$23, "Actual")/C$31</f>
        <v>0</v>
      </c>
      <c r="D46" s="12" t="n">
        <f aca="false">SUMIFS(D$10:D$23, $A$10:$A$23,$A46, $B$10:$B$23, "Actual")/D$31</f>
        <v>0</v>
      </c>
      <c r="E46" s="12" t="n">
        <f aca="false">SUMIFS(E$10:E$23, $A$10:$A$23,$A46, $B$10:$B$23, "Actual")/E$31</f>
        <v>0</v>
      </c>
      <c r="F46" s="12" t="n">
        <f aca="false">SUMIFS(F$10:F$23, $A$10:$A$23,$A46, $B$10:$B$23, "Actual")/F$31</f>
        <v>0</v>
      </c>
      <c r="G46" s="12" t="n">
        <f aca="false">SUMIFS(G$10:G$23, $A$10:$A$23,$A46, $B$10:$B$23, "Actual")/G$31</f>
        <v>0</v>
      </c>
      <c r="H46" s="12" t="n">
        <f aca="false">SUMIFS(H$10:H$23, $A$10:$A$23,$A46, $B$10:$B$23, "Actual")/H$31</f>
        <v>0</v>
      </c>
      <c r="I46" s="12" t="n">
        <f aca="false">SUMIFS(I$10:I$23, $A$10:$A$23,$A46, $B$10:$B$23, "Actual")/I$31</f>
        <v>0</v>
      </c>
      <c r="J46" s="12" t="n">
        <f aca="false">SUMIFS(J$10:J$23, $A$10:$A$23,$A46, $B$10:$B$23, "Actual")/J$31</f>
        <v>0.0697425811637556</v>
      </c>
      <c r="K46" s="12" t="n">
        <f aca="false">SUMIFS(K$10:K$23, $A$10:$A$23,$A46, $B$10:$B$23, "Actual")/K$31</f>
        <v>0</v>
      </c>
      <c r="L46" s="12" t="n">
        <f aca="false">SUMIFS(L$10:L$23, $A$10:$A$23,$A46, $B$10:$B$23, "Actual")/L$31</f>
        <v>0</v>
      </c>
      <c r="M46" s="12" t="n">
        <f aca="false">SUMIFS(M$10:M$23, $A$10:$A$23,$A46, $B$10:$B$23, "Actual")/M$31</f>
        <v>0</v>
      </c>
      <c r="N46" s="12" t="n">
        <f aca="false">SUMIFS(N$10:N$23, $A$10:$A$23,$A46, $B$10:$B$23, "Actual")/N$31</f>
        <v>0</v>
      </c>
      <c r="O46" s="12" t="n">
        <f aca="false">SUMIFS(O$10:O$23, $A$10:$A$23,$A46, $B$10:$B$23, "Actual")/O$31</f>
        <v>0.00799630337772285</v>
      </c>
      <c r="P46" s="12" t="n">
        <f aca="false">SUMIFS(P$10:P$23, $A$10:$A$23,$A46, $B$10:$B$23, "Actual")/P$31</f>
        <v>0</v>
      </c>
      <c r="Q46" s="12" t="n">
        <f aca="false">SUMIFS(Q$10:Q$23, $A$10:$A$23,$A46, $B$10:$B$23, "Actual")/Q$31</f>
        <v>0</v>
      </c>
      <c r="R46" s="12" t="n">
        <f aca="false">SUMIFS(R$10:R$23, $A$10:$A$23,$A46, $B$10:$B$23, "Actual")/R$31</f>
        <v>0</v>
      </c>
      <c r="S46" s="12" t="n">
        <f aca="false">SUMIFS(S$10:S$23, $A$10:$A$23,$A46, $B$10:$B$23, "Actual")/S$31</f>
        <v>0</v>
      </c>
      <c r="T46" s="12" t="n">
        <f aca="false">SUMIFS(T$10:T$23, $A$10:$A$23,$A46, $B$10:$B$23, "Actual")/T$31</f>
        <v>0</v>
      </c>
      <c r="U46" s="12" t="n">
        <f aca="false">SUMIFS(U$10:U$23, $A$10:$A$23,$A46, $B$10:$B$23, "Actual")/U$31</f>
        <v>0</v>
      </c>
      <c r="V46" s="12" t="n">
        <f aca="false">SUMIFS(V$10:V$23, $A$10:$A$23,$A46, $B$10:$B$23, "Actual")/V$31</f>
        <v>0.112239473269549</v>
      </c>
      <c r="W46" s="12" t="n">
        <f aca="false">SUMIFS(W$10:W$23, $A$10:$A$23,$A46, $B$10:$B$23, "Actual")/W$31</f>
        <v>0</v>
      </c>
      <c r="X46" s="12" t="n">
        <f aca="false">SUMIFS(X$10:X$23, $A$10:$A$23,$A46, $B$10:$B$23, "Actual")/X$31</f>
        <v>0</v>
      </c>
      <c r="Y46" s="12" t="n">
        <f aca="false">SUMIFS(Y$10:Y$23, $A$10:$A$23,$A46, $B$10:$B$23, "Actual")/Y$31</f>
        <v>0</v>
      </c>
      <c r="Z46" s="12" t="n">
        <f aca="false">SUMIFS(Z$10:Z$23, $A$10:$A$23,$A46, $B$10:$B$23, "Actual")/Z$31</f>
        <v>0</v>
      </c>
      <c r="AA46" s="12" t="n">
        <f aca="false">SUMIFS(AA$10:AA$23, $A$10:$A$23,$A46, $B$10:$B$23, "Actual")/AA$31</f>
        <v>0</v>
      </c>
      <c r="AB46" s="12" t="n">
        <f aca="false">SUMIFS(AB$10:AB$23, $A$10:$A$23,$A46, $B$10:$B$23, "Actual")/AB$31</f>
        <v>0</v>
      </c>
      <c r="AC46" s="12" t="n">
        <f aca="false">SUMIFS(AC$10:AC$23, $A$10:$A$23,$A46, $B$10:$B$23, "Actual")/AC$31</f>
        <v>0</v>
      </c>
      <c r="AD46" s="12" t="n">
        <f aca="false">SUMIFS(AD$10:AD$23, $A$10:$A$23,$A46, $B$10:$B$23, "Actual")/AD$31</f>
        <v>0</v>
      </c>
      <c r="AE46" s="12" t="n">
        <f aca="false">SUMIFS(AE$10:AE$23, $A$10:$A$23,$A46, $B$10:$B$23, "Actual")/AE$31</f>
        <v>0</v>
      </c>
      <c r="AF46" s="12" t="n">
        <f aca="false">SUMIFS(AF$10:AF$23, $A$10:$A$23,$A46, $B$10:$B$23, "Actual")/AF$31</f>
        <v>0</v>
      </c>
      <c r="AG46" s="12" t="n">
        <f aca="false">SUMIFS(AG$10:AG$23, $A$10:$A$23,$A46, $B$10:$B$23, "Actual")/AG$31</f>
        <v>0</v>
      </c>
      <c r="AH46" s="12" t="n">
        <f aca="false">SUMIFS(AH$10:AH$23, $A$10:$A$23,$A46, $B$10:$B$23, "Actual")/AH$31</f>
        <v>0</v>
      </c>
      <c r="AI46" s="12" t="n">
        <f aca="false">SUMIFS(AI$10:AI$23, $A$10:$A$23,$A46, $B$10:$B$23, "Actual")/AI$31</f>
        <v>0</v>
      </c>
      <c r="AJ46" s="12" t="n">
        <f aca="false">SUMIFS(AJ$10:AJ$23, $A$10:$A$23,$A46, $B$10:$B$23, "Actual")/AJ$31</f>
        <v>0</v>
      </c>
      <c r="AK46" s="12"/>
      <c r="AL46" s="12" t="n">
        <f aca="false">SUMIFS(AL$10:AL$23, $A$10:$A$23,$A46, $B$10:$B$23, "Actual")/AL$31</f>
        <v>0.00209407444072297</v>
      </c>
      <c r="AM46" s="12" t="n">
        <f aca="false">SUMIFS(AM$10:AM$23, $A$10:$A$23,$A46, $B$10:$B$23, "Actual")/AM$31</f>
        <v>0.0015171519173123</v>
      </c>
      <c r="AN46" s="12" t="n">
        <f aca="false">SUMIFS(AN$10:AN$23, $A$10:$A$23,$A46, $B$10:$B$23, "Actual")/AN$31</f>
        <v>0.00733006317451354</v>
      </c>
      <c r="AO46" s="12" t="n">
        <f aca="false">SUMIFS(AO$10:AO$23, $A$10:$A$23,$A46, $B$10:$B$23, "Actual")/AO$31</f>
        <v>0</v>
      </c>
      <c r="AP46" s="12" t="n">
        <f aca="false">SUMIFS(AP$10:AP$23, $A$10:$A$23,$A46, $B$10:$B$23, "Actual")/AP$31</f>
        <v>0</v>
      </c>
      <c r="AQ46" s="12"/>
      <c r="AR46" s="12" t="n">
        <f aca="false">SUMIFS(AR$10:AR$23, $A$10:$A$23,$A46, $B$10:$B$23, "Actual")/AR$31</f>
        <v>0.00264732335419853</v>
      </c>
    </row>
    <row r="47" customFormat="false" ht="12.75" hidden="false" customHeight="false" outlineLevel="0" collapsed="false">
      <c r="A47" s="0" t="s">
        <v>52</v>
      </c>
      <c r="B47" s="13" t="s">
        <v>57</v>
      </c>
      <c r="C47" s="12" t="n">
        <f aca="false">SUMIFS(C$10:C$23, $A$10:$A$23,$A47, $B$10:$B$23, "Actual")/C$31</f>
        <v>0.297179691097708</v>
      </c>
      <c r="D47" s="12" t="n">
        <f aca="false">SUMIFS(D$10:D$23, $A$10:$A$23,$A47, $B$10:$B$23, "Actual")/D$31</f>
        <v>0.334952601847034</v>
      </c>
      <c r="E47" s="12" t="n">
        <f aca="false">SUMIFS(E$10:E$23, $A$10:$A$23,$A47, $B$10:$B$23, "Actual")/E$31</f>
        <v>0.194167981420902</v>
      </c>
      <c r="F47" s="12" t="n">
        <f aca="false">SUMIFS(F$10:F$23, $A$10:$A$23,$A47, $B$10:$B$23, "Actual")/F$31</f>
        <v>0.315805723924132</v>
      </c>
      <c r="G47" s="12" t="n">
        <f aca="false">SUMIFS(G$10:G$23, $A$10:$A$23,$A47, $B$10:$B$23, "Actual")/G$31</f>
        <v>0.598931157075755</v>
      </c>
      <c r="H47" s="12" t="n">
        <f aca="false">SUMIFS(H$10:H$23, $A$10:$A$23,$A47, $B$10:$B$23, "Actual")/H$31</f>
        <v>0.317334340012221</v>
      </c>
      <c r="I47" s="12" t="n">
        <f aca="false">SUMIFS(I$10:I$23, $A$10:$A$23,$A47, $B$10:$B$23, "Actual")/I$31</f>
        <v>0.396996251984048</v>
      </c>
      <c r="J47" s="12" t="n">
        <f aca="false">SUMIFS(J$10:J$23, $A$10:$A$23,$A47, $B$10:$B$23, "Actual")/J$31</f>
        <v>0.690345168456777</v>
      </c>
      <c r="K47" s="12" t="n">
        <f aca="false">SUMIFS(K$10:K$23, $A$10:$A$23,$A47, $B$10:$B$23, "Actual")/K$31</f>
        <v>0.302558902781382</v>
      </c>
      <c r="L47" s="12" t="n">
        <f aca="false">SUMIFS(L$10:L$23, $A$10:$A$23,$A47, $B$10:$B$23, "Actual")/L$31</f>
        <v>0.648359972729339</v>
      </c>
      <c r="M47" s="12" t="n">
        <f aca="false">SUMIFS(M$10:M$23, $A$10:$A$23,$A47, $B$10:$B$23, "Actual")/M$31</f>
        <v>0.33949163738715</v>
      </c>
      <c r="N47" s="12" t="n">
        <f aca="false">SUMIFS(N$10:N$23, $A$10:$A$23,$A47, $B$10:$B$23, "Actual")/N$31</f>
        <v>0.452807646356033</v>
      </c>
      <c r="O47" s="12" t="n">
        <f aca="false">SUMIFS(O$10:O$23, $A$10:$A$23,$A47, $B$10:$B$23, "Actual")/O$31</f>
        <v>0.298708668216763</v>
      </c>
      <c r="P47" s="12" t="n">
        <f aca="false">SUMIFS(P$10:P$23, $A$10:$A$23,$A47, $B$10:$B$23, "Actual")/P$31</f>
        <v>0.354343790055503</v>
      </c>
      <c r="Q47" s="12" t="n">
        <f aca="false">SUMIFS(Q$10:Q$23, $A$10:$A$23,$A47, $B$10:$B$23, "Actual")/Q$31</f>
        <v>0.279988604169069</v>
      </c>
      <c r="R47" s="12" t="n">
        <f aca="false">SUMIFS(R$10:R$23, $A$10:$A$23,$A47, $B$10:$B$23, "Actual")/R$31</f>
        <v>0.23315727011545</v>
      </c>
      <c r="S47" s="12" t="n">
        <f aca="false">SUMIFS(S$10:S$23, $A$10:$A$23,$A47, $B$10:$B$23, "Actual")/S$31</f>
        <v>0.272515228786411</v>
      </c>
      <c r="T47" s="12" t="n">
        <f aca="false">SUMIFS(T$10:T$23, $A$10:$A$23,$A47, $B$10:$B$23, "Actual")/T$31</f>
        <v>0.308729647409784</v>
      </c>
      <c r="U47" s="12" t="n">
        <f aca="false">SUMIFS(U$10:U$23, $A$10:$A$23,$A47, $B$10:$B$23, "Actual")/U$31</f>
        <v>0.330236036916425</v>
      </c>
      <c r="V47" s="12" t="n">
        <f aca="false">SUMIFS(V$10:V$23, $A$10:$A$23,$A47, $B$10:$B$23, "Actual")/V$31</f>
        <v>0.30012453544646</v>
      </c>
      <c r="W47" s="12" t="n">
        <f aca="false">SUMIFS(W$10:W$23, $A$10:$A$23,$A47, $B$10:$B$23, "Actual")/W$31</f>
        <v>0.286420273758449</v>
      </c>
      <c r="X47" s="12" t="n">
        <f aca="false">SUMIFS(X$10:X$23, $A$10:$A$23,$A47, $B$10:$B$23, "Actual")/X$31</f>
        <v>0.27273222689734</v>
      </c>
      <c r="Y47" s="12" t="n">
        <f aca="false">SUMIFS(Y$10:Y$23, $A$10:$A$23,$A47, $B$10:$B$23, "Actual")/Y$31</f>
        <v>0.251478293110974</v>
      </c>
      <c r="Z47" s="12" t="n">
        <f aca="false">SUMIFS(Z$10:Z$23, $A$10:$A$23,$A47, $B$10:$B$23, "Actual")/Z$31</f>
        <v>0.273536485956102</v>
      </c>
      <c r="AA47" s="12" t="n">
        <f aca="false">SUMIFS(AA$10:AA$23, $A$10:$A$23,$A47, $B$10:$B$23, "Actual")/AA$31</f>
        <v>0.433696325708434</v>
      </c>
      <c r="AB47" s="12" t="n">
        <f aca="false">SUMIFS(AB$10:AB$23, $A$10:$A$23,$A47, $B$10:$B$23, "Actual")/AB$31</f>
        <v>0.323072194832878</v>
      </c>
      <c r="AC47" s="12" t="n">
        <f aca="false">SUMIFS(AC$10:AC$23, $A$10:$A$23,$A47, $B$10:$B$23, "Actual")/AC$31</f>
        <v>0.340868485152053</v>
      </c>
      <c r="AD47" s="12" t="n">
        <f aca="false">SUMIFS(AD$10:AD$23, $A$10:$A$23,$A47, $B$10:$B$23, "Actual")/AD$31</f>
        <v>0.194480393253341</v>
      </c>
      <c r="AE47" s="12" t="n">
        <f aca="false">SUMIFS(AE$10:AE$23, $A$10:$A$23,$A47, $B$10:$B$23, "Actual")/AE$31</f>
        <v>0.364995560539883</v>
      </c>
      <c r="AF47" s="12" t="n">
        <f aca="false">SUMIFS(AF$10:AF$23, $A$10:$A$23,$A47, $B$10:$B$23, "Actual")/AF$31</f>
        <v>0.257673474926102</v>
      </c>
      <c r="AG47" s="12" t="n">
        <f aca="false">SUMIFS(AG$10:AG$23, $A$10:$A$23,$A47, $B$10:$B$23, "Actual")/AG$31</f>
        <v>0.326044793324214</v>
      </c>
      <c r="AH47" s="12" t="n">
        <f aca="false">SUMIFS(AH$10:AH$23, $A$10:$A$23,$A47, $B$10:$B$23, "Actual")/AH$31</f>
        <v>0.30061491967919</v>
      </c>
      <c r="AI47" s="12" t="n">
        <f aca="false">SUMIFS(AI$10:AI$23, $A$10:$A$23,$A47, $B$10:$B$23, "Actual")/AI$31</f>
        <v>0.262409284708903</v>
      </c>
      <c r="AJ47" s="12" t="n">
        <f aca="false">SUMIFS(AJ$10:AJ$23, $A$10:$A$23,$A47, $B$10:$B$23, "Actual")/AJ$31</f>
        <v>0.28246811240558</v>
      </c>
      <c r="AK47" s="12"/>
      <c r="AL47" s="12" t="n">
        <f aca="false">SUMIFS(AL$10:AL$23, $A$10:$A$23,$A47, $B$10:$B$23, "Actual")/AL$31</f>
        <v>0.335917158069361</v>
      </c>
      <c r="AM47" s="12" t="n">
        <f aca="false">SUMIFS(AM$10:AM$23, $A$10:$A$23,$A47, $B$10:$B$23, "Actual")/AM$31</f>
        <v>0.299859799777089</v>
      </c>
      <c r="AN47" s="12" t="n">
        <f aca="false">SUMIFS(AN$10:AN$23, $A$10:$A$23,$A47, $B$10:$B$23, "Actual")/AN$31</f>
        <v>0.299898068808491</v>
      </c>
      <c r="AO47" s="12" t="n">
        <f aca="false">SUMIFS(AO$10:AO$23, $A$10:$A$23,$A47, $B$10:$B$23, "Actual")/AO$31</f>
        <v>0.266754105685655</v>
      </c>
      <c r="AP47" s="12" t="n">
        <f aca="false">SUMIFS(AP$10:AP$23, $A$10:$A$23,$A47, $B$10:$B$23, "Actual")/AP$31</f>
        <v>0.300166442709941</v>
      </c>
      <c r="AQ47" s="12"/>
      <c r="AR47" s="12" t="n">
        <f aca="false">SUMIFS(AR$10:AR$23, $A$10:$A$23,$A47, $B$10:$B$23, "Actual")/AR$31</f>
        <v>0.308188141853776</v>
      </c>
    </row>
    <row r="48" customFormat="false" ht="12.75" hidden="false" customHeight="false" outlineLevel="0" collapsed="false">
      <c r="B48" s="13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</row>
    <row r="49" customFormat="false" ht="16.25" hidden="false" customHeight="false" outlineLevel="0" collapsed="false">
      <c r="A49" s="0" t="s">
        <v>58</v>
      </c>
      <c r="B49" s="13" t="s">
        <v>46</v>
      </c>
      <c r="C49" s="14" t="n">
        <f aca="false">C31/C24</f>
        <v>147.772209739242</v>
      </c>
      <c r="D49" s="14" t="n">
        <f aca="false">D31/D24</f>
        <v>305.432838095238</v>
      </c>
      <c r="E49" s="14" t="n">
        <f aca="false">E31/E24</f>
        <v>223.503964045852</v>
      </c>
      <c r="F49" s="14" t="n">
        <f aca="false">F31/F24</f>
        <v>240.987688984881</v>
      </c>
      <c r="G49" s="14" t="n">
        <f aca="false">G31/G24</f>
        <v>93.8264285714286</v>
      </c>
      <c r="H49" s="14" t="n">
        <f aca="false">H31/H24</f>
        <v>234.108688961838</v>
      </c>
      <c r="I49" s="14" t="n">
        <f aca="false">I31/I24</f>
        <v>218.085649644473</v>
      </c>
      <c r="J49" s="14" t="n">
        <f aca="false">J31/J24</f>
        <v>539.900278551532</v>
      </c>
      <c r="K49" s="14" t="n">
        <f aca="false">K31/K24</f>
        <v>185.122000256663</v>
      </c>
      <c r="L49" s="14" t="e">
        <f aca="false">L31/L24</f>
        <v>#DIV/0!</v>
      </c>
      <c r="M49" s="14" t="n">
        <f aca="false">M31/M24</f>
        <v>203.961962040147</v>
      </c>
      <c r="N49" s="14" t="n">
        <f aca="false">N31/N24</f>
        <v>1336.79136690647</v>
      </c>
      <c r="O49" s="14" t="n">
        <f aca="false">O31/O24</f>
        <v>160.073966623877</v>
      </c>
      <c r="P49" s="14" t="n">
        <f aca="false">P31/P24</f>
        <v>229.533401373168</v>
      </c>
      <c r="Q49" s="14" t="n">
        <f aca="false">Q31/Q24</f>
        <v>145.268371023048</v>
      </c>
      <c r="R49" s="14" t="n">
        <f aca="false">R31/R24</f>
        <v>164.229612828357</v>
      </c>
      <c r="S49" s="14" t="n">
        <f aca="false">S31/S24</f>
        <v>225.332725929574</v>
      </c>
      <c r="T49" s="14" t="n">
        <f aca="false">T31/T24</f>
        <v>264.806824216676</v>
      </c>
      <c r="U49" s="14" t="n">
        <f aca="false">U31/U24</f>
        <v>247.110286677909</v>
      </c>
      <c r="V49" s="14" t="n">
        <f aca="false">V31/V24</f>
        <v>323.565914866582</v>
      </c>
      <c r="W49" s="14" t="n">
        <f aca="false">W31/W24</f>
        <v>124.472570360598</v>
      </c>
      <c r="X49" s="14" t="n">
        <f aca="false">X31/X24</f>
        <v>128.950192104792</v>
      </c>
      <c r="Y49" s="14" t="n">
        <f aca="false">Y31/Y24</f>
        <v>207.684217780841</v>
      </c>
      <c r="Z49" s="14" t="n">
        <f aca="false">Z31/Z24</f>
        <v>153.49810766973</v>
      </c>
      <c r="AA49" s="14" t="n">
        <f aca="false">AA31/AA24</f>
        <v>207.71393389501</v>
      </c>
      <c r="AB49" s="14" t="n">
        <f aca="false">AB31/AB24</f>
        <v>160.290217099973</v>
      </c>
      <c r="AC49" s="14" t="n">
        <f aca="false">AC31/AC24</f>
        <v>41.1958345386173</v>
      </c>
      <c r="AD49" s="14" t="n">
        <f aca="false">AD31/AD24</f>
        <v>241.700809121</v>
      </c>
      <c r="AE49" s="14" t="n">
        <f aca="false">AE31/AE24</f>
        <v>276.230492663492</v>
      </c>
      <c r="AF49" s="14" t="n">
        <f aca="false">AF31/AF24</f>
        <v>158.137809840918</v>
      </c>
      <c r="AG49" s="14" t="n">
        <f aca="false">AG31/AG24</f>
        <v>233.37192258744</v>
      </c>
      <c r="AH49" s="14" t="n">
        <f aca="false">AH31/AH24</f>
        <v>222.485300076539</v>
      </c>
      <c r="AI49" s="14" t="n">
        <f aca="false">AI31/AI24</f>
        <v>212.371780348199</v>
      </c>
      <c r="AJ49" s="14" t="n">
        <f aca="false">AJ31/AJ24</f>
        <v>226.329886378144</v>
      </c>
      <c r="AK49" s="12"/>
      <c r="AL49" s="14" t="n">
        <f aca="false">AL31/AL24</f>
        <v>195.301529673734</v>
      </c>
      <c r="AM49" s="14" t="n">
        <f aca="false">AM31/AM24</f>
        <v>180.393564111854</v>
      </c>
      <c r="AN49" s="14" t="n">
        <f aca="false">AN31/AN24</f>
        <v>165.818402181598</v>
      </c>
      <c r="AO49" s="14" t="n">
        <f aca="false">AO31/AO24</f>
        <v>71.0266476977374</v>
      </c>
      <c r="AP49" s="14" t="n">
        <f aca="false">AP31/AP24</f>
        <v>220.501916850957</v>
      </c>
      <c r="AQ49" s="12"/>
      <c r="AR49" s="14" t="n">
        <f aca="false">AR31/AR24</f>
        <v>182.501375729919</v>
      </c>
    </row>
    <row r="50" customFormat="false" ht="16.25" hidden="false" customHeight="false" outlineLevel="0" collapsed="false">
      <c r="A50" s="0" t="s">
        <v>59</v>
      </c>
      <c r="B50" s="13" t="s">
        <v>46</v>
      </c>
      <c r="C50" s="14" t="n">
        <f aca="false">C23/C24</f>
        <v>43.9148996431336</v>
      </c>
      <c r="D50" s="14" t="n">
        <f aca="false">D23/D24</f>
        <v>102.305523809524</v>
      </c>
      <c r="E50" s="14" t="n">
        <f aca="false">E23/E24</f>
        <v>43.3973135383528</v>
      </c>
      <c r="F50" s="14" t="n">
        <f aca="false">F23/F24</f>
        <v>76.1052915766739</v>
      </c>
      <c r="G50" s="14" t="n">
        <f aca="false">G23/G24</f>
        <v>56.1955714285714</v>
      </c>
      <c r="H50" s="14" t="n">
        <f aca="false">H23/H24</f>
        <v>74.2907263028314</v>
      </c>
      <c r="I50" s="14" t="n">
        <f aca="false">I23/I24</f>
        <v>86.579185520362</v>
      </c>
      <c r="J50" s="14" t="n">
        <f aca="false">J23/J24</f>
        <v>372.717548746518</v>
      </c>
      <c r="K50" s="14" t="n">
        <f aca="false">K23/K24</f>
        <v>56.0103092783505</v>
      </c>
      <c r="L50" s="14" t="e">
        <f aca="false">L23/L24</f>
        <v>#DIV/0!</v>
      </c>
      <c r="M50" s="14" t="n">
        <f aca="false">M23/M24</f>
        <v>69.2433804577052</v>
      </c>
      <c r="N50" s="14" t="n">
        <f aca="false">N23/N24</f>
        <v>605.309352517986</v>
      </c>
      <c r="O50" s="14" t="n">
        <f aca="false">O23/O24</f>
        <v>47.8154813863928</v>
      </c>
      <c r="P50" s="14" t="n">
        <f aca="false">P23/P24</f>
        <v>81.3337353868992</v>
      </c>
      <c r="Q50" s="14" t="n">
        <f aca="false">Q23/Q24</f>
        <v>40.6734884326577</v>
      </c>
      <c r="R50" s="14" t="n">
        <f aca="false">R23/R24</f>
        <v>38.2913281991771</v>
      </c>
      <c r="S50" s="14" t="n">
        <f aca="false">S23/S24</f>
        <v>61.4065993597636</v>
      </c>
      <c r="T50" s="14" t="n">
        <f aca="false">T23/T24</f>
        <v>81.753717472119</v>
      </c>
      <c r="U50" s="14" t="n">
        <f aca="false">U23/U24</f>
        <v>81.6047217537943</v>
      </c>
      <c r="V50" s="14" t="n">
        <f aca="false">V23/V24</f>
        <v>97.1100698856417</v>
      </c>
      <c r="W50" s="14" t="n">
        <f aca="false">W23/W24</f>
        <v>35.6514676781003</v>
      </c>
      <c r="X50" s="14" t="n">
        <f aca="false">X23/X24</f>
        <v>35.1688730515796</v>
      </c>
      <c r="Y50" s="14" t="n">
        <f aca="false">Y23/Y24</f>
        <v>52.2280725936136</v>
      </c>
      <c r="Z50" s="14" t="n">
        <f aca="false">Z23/Z24</f>
        <v>41.9873329728895</v>
      </c>
      <c r="AA50" s="14" t="n">
        <f aca="false">AA23/AA24</f>
        <v>90.0847699287103</v>
      </c>
      <c r="AB50" s="14" t="n">
        <f aca="false">AB23/AB24</f>
        <v>51.7853122487269</v>
      </c>
      <c r="AC50" s="14" t="n">
        <f aca="false">AC23/AC24</f>
        <v>14.0423617137531</v>
      </c>
      <c r="AD50" s="14" t="n">
        <f aca="false">AD23/AD24</f>
        <v>47.0060684075028</v>
      </c>
      <c r="AE50" s="14" t="n">
        <f aca="false">AE23/AE24</f>
        <v>100.82290350792</v>
      </c>
      <c r="AF50" s="14" t="n">
        <f aca="false">AF23/AF24</f>
        <v>40.7479189789123</v>
      </c>
      <c r="AG50" s="14" t="n">
        <f aca="false">AG23/AG24</f>
        <v>76.0897002676965</v>
      </c>
      <c r="AH50" s="14" t="n">
        <f aca="false">AH23/AH24</f>
        <v>66.8824006123092</v>
      </c>
      <c r="AI50" s="14" t="n">
        <f aca="false">AI23/AI24</f>
        <v>55.7283269735273</v>
      </c>
      <c r="AJ50" s="14" t="n">
        <f aca="false">AJ23/AJ24</f>
        <v>63.9309757862037</v>
      </c>
      <c r="AK50" s="12"/>
      <c r="AL50" s="14" t="n">
        <f aca="false">AL23/AL24</f>
        <v>65.6051348145997</v>
      </c>
      <c r="AM50" s="14" t="n">
        <f aca="false">AM23/AM24</f>
        <v>54.0927780156561</v>
      </c>
      <c r="AN50" s="14" t="n">
        <f aca="false">AN23/AN24</f>
        <v>49.7286185871709</v>
      </c>
      <c r="AO50" s="14" t="n">
        <f aca="false">AO23/AO24</f>
        <v>18.94664988646</v>
      </c>
      <c r="AP50" s="14" t="n">
        <f aca="false">AP23/AP24</f>
        <v>66.1872759918751</v>
      </c>
      <c r="AQ50" s="12"/>
      <c r="AR50" s="14" t="n">
        <f aca="false">AR23/AR24</f>
        <v>56.2447598719615</v>
      </c>
    </row>
    <row r="54" customFormat="false" ht="17.35" hidden="false" customHeight="false" outlineLevel="0" collapsed="false">
      <c r="A54" s="8" t="s">
        <v>60</v>
      </c>
    </row>
    <row r="56" customFormat="false" ht="16.25" hidden="false" customHeight="false" outlineLevel="0" collapsed="false">
      <c r="A56" s="0" t="s">
        <v>40</v>
      </c>
      <c r="B56" s="0" t="s">
        <v>61</v>
      </c>
      <c r="C56" s="10" t="n">
        <f aca="false">SUM(C58:C64)</f>
        <v>6348563</v>
      </c>
      <c r="D56" s="10" t="n">
        <f aca="false">SUM(D58:D64)</f>
        <v>3236384</v>
      </c>
      <c r="E56" s="10" t="n">
        <f aca="false">SUM(E58:E64)</f>
        <v>1959940</v>
      </c>
      <c r="F56" s="10" t="n">
        <f aca="false">SUM(F58:F64)</f>
        <v>3508947</v>
      </c>
      <c r="G56" s="10" t="n">
        <f aca="false">SUM(G58:G64)</f>
        <v>2134324</v>
      </c>
      <c r="H56" s="10" t="n">
        <f aca="false">SUM(H58:H64)</f>
        <v>3896956</v>
      </c>
      <c r="I56" s="10" t="n">
        <f aca="false">SUM(I58:I64)</f>
        <v>4476490</v>
      </c>
      <c r="J56" s="10" t="n">
        <f aca="false">SUM(J58:J64)</f>
        <v>0</v>
      </c>
      <c r="K56" s="10" t="n">
        <f aca="false">SUM(K58:K64)</f>
        <v>3495047</v>
      </c>
      <c r="L56" s="10" t="n">
        <f aca="false">SUM(L58:L64)</f>
        <v>0</v>
      </c>
      <c r="M56" s="10" t="n">
        <f aca="false">SUM(M58:M64)</f>
        <v>1900368</v>
      </c>
      <c r="N56" s="10" t="n">
        <f aca="false">SUM(N58:N64)</f>
        <v>0</v>
      </c>
      <c r="O56" s="10" t="n">
        <f aca="false">SUM(O58:O64)</f>
        <v>2303135</v>
      </c>
      <c r="P56" s="10" t="n">
        <f aca="false">SUM(P58:P64)</f>
        <v>4164336</v>
      </c>
      <c r="Q56" s="10" t="n">
        <f aca="false">SUM(Q58:Q64)</f>
        <v>3245690</v>
      </c>
      <c r="R56" s="10" t="n">
        <f aca="false">SUM(R58:R64)</f>
        <v>1492415</v>
      </c>
      <c r="S56" s="10" t="n">
        <f aca="false">SUM(S58:S64)</f>
        <v>3306313</v>
      </c>
      <c r="T56" s="10" t="n">
        <f aca="false">SUM(T58:T64)</f>
        <v>0</v>
      </c>
      <c r="U56" s="10" t="n">
        <f aca="false">SUM(U58:U64)</f>
        <v>1257468</v>
      </c>
      <c r="V56" s="10" t="n">
        <f aca="false">SUM(V58:V64)</f>
        <v>0</v>
      </c>
      <c r="W56" s="10" t="n">
        <f aca="false">SUM(W58:W64)</f>
        <v>3239968</v>
      </c>
      <c r="X56" s="10" t="n">
        <f aca="false">SUM(X58:X64)</f>
        <v>5263840</v>
      </c>
      <c r="Y56" s="10" t="n">
        <f aca="false">SUM(Y58:Y64)</f>
        <v>4168872</v>
      </c>
      <c r="Z56" s="10" t="n">
        <f aca="false">SUM(Z58:Z64)</f>
        <v>3087296</v>
      </c>
      <c r="AA56" s="10" t="n">
        <f aca="false">SUM(AA58:AA64)</f>
        <v>0</v>
      </c>
      <c r="AB56" s="10" t="n">
        <f aca="false">SUM(AB58:AB64)</f>
        <v>0</v>
      </c>
      <c r="AC56" s="10" t="n">
        <f aca="false">SUM(AC58:AC64)</f>
        <v>1049031</v>
      </c>
      <c r="AD56" s="10" t="n">
        <f aca="false">SUM(AD58:AD64)</f>
        <v>1033267</v>
      </c>
      <c r="AE56" s="10" t="n">
        <f aca="false">SUM(AE58:AE64)</f>
        <v>4517369</v>
      </c>
      <c r="AF56" s="10" t="n">
        <f aca="false">SUM(AF58:AF64)</f>
        <v>2743849</v>
      </c>
      <c r="AG56" s="10" t="n">
        <f aca="false">SUM(AG58:AG64)</f>
        <v>4445233</v>
      </c>
      <c r="AH56" s="10" t="n">
        <f aca="false">SUM(AH58:AH64)</f>
        <v>4399371</v>
      </c>
      <c r="AI56" s="10" t="n">
        <f aca="false">SUM(AI58:AI64)</f>
        <v>4938177</v>
      </c>
      <c r="AJ56" s="10" t="n">
        <f aca="false">SUM(AJ58:AJ64)</f>
        <v>4045531</v>
      </c>
      <c r="AK56" s="10"/>
      <c r="AL56" s="10" t="n">
        <f aca="false">SUM(AL58:AL64)</f>
        <v>25561604</v>
      </c>
      <c r="AM56" s="10" t="n">
        <f aca="false">SUM(AM58:AM64)</f>
        <v>19907304</v>
      </c>
      <c r="AN56" s="10" t="n">
        <f aca="false">SUM(AN58:AN64)</f>
        <v>17017444</v>
      </c>
      <c r="AO56" s="10" t="n">
        <f aca="false">SUM(AO58:AO64)</f>
        <v>2082298</v>
      </c>
      <c r="AP56" s="10" t="n">
        <f aca="false">SUM(AP58:AP64)</f>
        <v>25089530</v>
      </c>
      <c r="AQ56" s="10"/>
      <c r="AR56" s="10" t="n">
        <f aca="false">SUM(C56:AJ56)</f>
        <v>89658180</v>
      </c>
    </row>
    <row r="57" customFormat="false" ht="12.8" hidden="false" customHeight="false" outlineLevel="0" collapsed="false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</row>
    <row r="58" customFormat="false" ht="16.25" hidden="false" customHeight="false" outlineLevel="0" collapsed="false">
      <c r="A58" s="0" t="s">
        <v>43</v>
      </c>
      <c r="B58" s="0" t="s">
        <v>61</v>
      </c>
      <c r="C58" s="10" t="n">
        <v>2401830</v>
      </c>
      <c r="D58" s="10" t="n">
        <v>0</v>
      </c>
      <c r="E58" s="10" t="n">
        <v>475555</v>
      </c>
      <c r="F58" s="10" t="n">
        <v>1108921</v>
      </c>
      <c r="G58" s="10" t="n">
        <v>0</v>
      </c>
      <c r="H58" s="10" t="n">
        <v>943578</v>
      </c>
      <c r="I58" s="10" t="n">
        <v>1308052</v>
      </c>
      <c r="J58" s="10"/>
      <c r="K58" s="10" t="n">
        <v>967688</v>
      </c>
      <c r="L58" s="10"/>
      <c r="M58" s="10" t="n">
        <v>407160</v>
      </c>
      <c r="N58" s="10"/>
      <c r="O58" s="10" t="n">
        <v>257073</v>
      </c>
      <c r="P58" s="10" t="n">
        <v>1205020</v>
      </c>
      <c r="Q58" s="10" t="n">
        <v>833787</v>
      </c>
      <c r="R58" s="10" t="n">
        <v>359344</v>
      </c>
      <c r="S58" s="10" t="n">
        <v>863481</v>
      </c>
      <c r="T58" s="10"/>
      <c r="U58" s="10" t="n">
        <v>0</v>
      </c>
      <c r="V58" s="10"/>
      <c r="W58" s="10" t="n">
        <v>873647</v>
      </c>
      <c r="X58" s="10" t="n">
        <v>1598189</v>
      </c>
      <c r="Y58" s="10" t="n">
        <v>737811</v>
      </c>
      <c r="Z58" s="10" t="n">
        <v>361093</v>
      </c>
      <c r="AA58" s="10"/>
      <c r="AB58" s="10"/>
      <c r="AC58" s="10" t="n">
        <v>0</v>
      </c>
      <c r="AD58" s="10" t="n">
        <v>333364</v>
      </c>
      <c r="AE58" s="10" t="n">
        <v>1079174</v>
      </c>
      <c r="AF58" s="10" t="n">
        <v>935502</v>
      </c>
      <c r="AG58" s="10" t="n">
        <v>1818057</v>
      </c>
      <c r="AH58" s="10" t="n">
        <v>901574</v>
      </c>
      <c r="AI58" s="10" t="n">
        <v>1537281</v>
      </c>
      <c r="AJ58" s="10" t="n">
        <v>1028306</v>
      </c>
      <c r="AK58" s="10"/>
      <c r="AL58" s="10" t="n">
        <f aca="false">SUMIF($C$4:$AJ$4, AL$4,$C58:$AJ58)</f>
        <v>6237936</v>
      </c>
      <c r="AM58" s="10" t="n">
        <f aca="false">SUMIF($C$4:$AJ$4, AM$4,$C58:$AJ58)</f>
        <v>4893553</v>
      </c>
      <c r="AN58" s="10" t="n">
        <f aca="false">SUMIF($C$4:$AJ$4, AN$4,$C58:$AJ58)</f>
        <v>3570740</v>
      </c>
      <c r="AO58" s="10" t="n">
        <f aca="false">SUMIF($C$4:$AJ$4, AO$4,$C58:$AJ58)</f>
        <v>333364</v>
      </c>
      <c r="AP58" s="10" t="n">
        <f aca="false">SUMIF($C$4:$AJ$4, AP$4,$C58:$AJ58)</f>
        <v>7299894</v>
      </c>
      <c r="AQ58" s="10"/>
      <c r="AR58" s="10" t="n">
        <f aca="false">SUM(C58:AJ58)</f>
        <v>22335487</v>
      </c>
    </row>
    <row r="59" customFormat="false" ht="16.25" hidden="false" customHeight="false" outlineLevel="0" collapsed="false">
      <c r="A59" s="0" t="s">
        <v>47</v>
      </c>
      <c r="B59" s="0" t="s">
        <v>61</v>
      </c>
      <c r="C59" s="10" t="n">
        <v>0</v>
      </c>
      <c r="D59" s="10" t="n">
        <v>0</v>
      </c>
      <c r="E59" s="10" t="n">
        <v>99745</v>
      </c>
      <c r="F59" s="10" t="n">
        <v>0</v>
      </c>
      <c r="G59" s="10" t="n">
        <v>0</v>
      </c>
      <c r="H59" s="10" t="n">
        <v>92849</v>
      </c>
      <c r="I59" s="10" t="n">
        <v>182578</v>
      </c>
      <c r="J59" s="10"/>
      <c r="K59" s="10" t="n">
        <v>446901</v>
      </c>
      <c r="L59" s="10"/>
      <c r="M59" s="10" t="n">
        <v>0</v>
      </c>
      <c r="N59" s="10"/>
      <c r="O59" s="10" t="n">
        <v>299048</v>
      </c>
      <c r="P59" s="10" t="n">
        <v>301135</v>
      </c>
      <c r="Q59" s="10" t="n">
        <v>368084</v>
      </c>
      <c r="R59" s="10" t="n">
        <v>0</v>
      </c>
      <c r="S59" s="10" t="n">
        <v>525680</v>
      </c>
      <c r="T59" s="10"/>
      <c r="U59" s="10" t="n">
        <v>0</v>
      </c>
      <c r="V59" s="10"/>
      <c r="W59" s="10" t="n">
        <v>0</v>
      </c>
      <c r="X59" s="10" t="n">
        <v>424039</v>
      </c>
      <c r="Y59" s="10" t="n">
        <v>689127</v>
      </c>
      <c r="Z59" s="10" t="n">
        <v>441898</v>
      </c>
      <c r="AA59" s="10"/>
      <c r="AB59" s="10"/>
      <c r="AC59" s="10" t="n">
        <v>58204</v>
      </c>
      <c r="AD59" s="10" t="n">
        <v>54631</v>
      </c>
      <c r="AE59" s="10" t="n">
        <v>715628</v>
      </c>
      <c r="AF59" s="10" t="n">
        <v>388707</v>
      </c>
      <c r="AG59" s="10" t="n">
        <v>360136</v>
      </c>
      <c r="AH59" s="10" t="n">
        <v>575432</v>
      </c>
      <c r="AI59" s="10" t="n">
        <v>342576</v>
      </c>
      <c r="AJ59" s="10" t="n">
        <v>382022</v>
      </c>
      <c r="AK59" s="10"/>
      <c r="AL59" s="10" t="n">
        <f aca="false">SUMIF($C$4:$AJ$4, AL$4,$C59:$AJ59)</f>
        <v>375172</v>
      </c>
      <c r="AM59" s="10" t="n">
        <f aca="false">SUMIF($C$4:$AJ$4, AM$4,$C59:$AJ59)</f>
        <v>1940848</v>
      </c>
      <c r="AN59" s="10" t="n">
        <f aca="false">SUMIF($C$4:$AJ$4, AN$4,$C59:$AJ59)</f>
        <v>1555064</v>
      </c>
      <c r="AO59" s="10" t="n">
        <f aca="false">SUMIF($C$4:$AJ$4, AO$4,$C59:$AJ59)</f>
        <v>112835</v>
      </c>
      <c r="AP59" s="10" t="n">
        <f aca="false">SUMIF($C$4:$AJ$4, AP$4,$C59:$AJ59)</f>
        <v>2764501</v>
      </c>
      <c r="AQ59" s="10"/>
      <c r="AR59" s="10" t="n">
        <f aca="false">SUM(C59:AJ59)</f>
        <v>6748420</v>
      </c>
    </row>
    <row r="60" customFormat="false" ht="12.75" hidden="false" customHeight="false" outlineLevel="0" collapsed="false">
      <c r="A60" s="0" t="s">
        <v>48</v>
      </c>
      <c r="B60" s="0" t="s">
        <v>61</v>
      </c>
      <c r="C60" s="10" t="n">
        <v>1541973</v>
      </c>
      <c r="D60" s="10" t="n">
        <v>1111522</v>
      </c>
      <c r="E60" s="10" t="n">
        <v>740501</v>
      </c>
      <c r="F60" s="10" t="n">
        <v>790421</v>
      </c>
      <c r="G60" s="10" t="n">
        <v>169118</v>
      </c>
      <c r="H60" s="10" t="n">
        <v>1052180</v>
      </c>
      <c r="I60" s="10" t="n">
        <v>779769</v>
      </c>
      <c r="J60" s="10"/>
      <c r="K60" s="10" t="n">
        <v>680203</v>
      </c>
      <c r="L60" s="10"/>
      <c r="M60" s="10" t="n">
        <v>491231</v>
      </c>
      <c r="N60" s="10"/>
      <c r="O60" s="10" t="n">
        <v>239475</v>
      </c>
      <c r="P60" s="10" t="n">
        <v>681655</v>
      </c>
      <c r="Q60" s="10" t="n">
        <v>635802</v>
      </c>
      <c r="R60" s="10" t="n">
        <v>392424</v>
      </c>
      <c r="S60" s="10" t="n">
        <v>719988</v>
      </c>
      <c r="T60" s="10"/>
      <c r="U60" s="10" t="n">
        <v>410070</v>
      </c>
      <c r="V60" s="10"/>
      <c r="W60" s="10" t="n">
        <v>472602</v>
      </c>
      <c r="X60" s="10" t="n">
        <v>1341053</v>
      </c>
      <c r="Y60" s="10" t="n">
        <v>799539</v>
      </c>
      <c r="Z60" s="10" t="n">
        <v>725227</v>
      </c>
      <c r="AA60" s="10"/>
      <c r="AB60" s="10"/>
      <c r="AC60" s="10" t="n">
        <v>277188</v>
      </c>
      <c r="AD60" s="10" t="n">
        <v>305535</v>
      </c>
      <c r="AE60" s="10" t="n">
        <v>1048294</v>
      </c>
      <c r="AF60" s="10" t="n">
        <v>603722</v>
      </c>
      <c r="AG60" s="10" t="n">
        <v>794149</v>
      </c>
      <c r="AH60" s="10" t="n">
        <v>1189569</v>
      </c>
      <c r="AI60" s="10" t="n">
        <v>1316206</v>
      </c>
      <c r="AJ60" s="10" t="n">
        <v>1222375</v>
      </c>
      <c r="AK60" s="10"/>
      <c r="AL60" s="10" t="n">
        <f aca="false">SUMIF($C$4:$AJ$4, AL$4,$C60:$AJ60)</f>
        <v>6185484</v>
      </c>
      <c r="AM60" s="10" t="n">
        <f aca="false">SUMIF($C$4:$AJ$4, AM$4,$C60:$AJ60)</f>
        <v>3840778</v>
      </c>
      <c r="AN60" s="10" t="n">
        <f aca="false">SUMIF($C$4:$AJ$4, AN$4,$C60:$AJ60)</f>
        <v>3748491</v>
      </c>
      <c r="AO60" s="10" t="n">
        <f aca="false">SUMIF($C$4:$AJ$4, AO$4,$C60:$AJ60)</f>
        <v>582723</v>
      </c>
      <c r="AP60" s="10" t="n">
        <f aca="false">SUMIF($C$4:$AJ$4, AP$4,$C60:$AJ60)</f>
        <v>6174315</v>
      </c>
      <c r="AQ60" s="10"/>
      <c r="AR60" s="10" t="n">
        <f aca="false">SUM(C60:AJ60)</f>
        <v>20531791</v>
      </c>
    </row>
    <row r="61" customFormat="false" ht="16.25" hidden="false" customHeight="false" outlineLevel="0" collapsed="false">
      <c r="A61" s="0" t="s">
        <v>49</v>
      </c>
      <c r="B61" s="0" t="s">
        <v>61</v>
      </c>
      <c r="C61" s="10" t="n">
        <v>477826</v>
      </c>
      <c r="D61" s="10" t="n">
        <v>520369</v>
      </c>
      <c r="E61" s="10" t="n">
        <v>121209</v>
      </c>
      <c r="F61" s="10" t="n">
        <v>207427</v>
      </c>
      <c r="G61" s="10" t="n">
        <v>490727</v>
      </c>
      <c r="H61" s="10" t="n">
        <v>341017</v>
      </c>
      <c r="I61" s="10" t="n">
        <v>322261</v>
      </c>
      <c r="J61" s="10"/>
      <c r="K61" s="10" t="n">
        <v>298272</v>
      </c>
      <c r="L61" s="10"/>
      <c r="M61" s="10" t="n">
        <v>325978</v>
      </c>
      <c r="N61" s="10"/>
      <c r="O61" s="10" t="n">
        <v>98471</v>
      </c>
      <c r="P61" s="10" t="n">
        <v>195783</v>
      </c>
      <c r="Q61" s="10" t="n">
        <v>82396</v>
      </c>
      <c r="R61" s="10" t="n">
        <v>189850</v>
      </c>
      <c r="S61" s="10" t="n">
        <v>211300</v>
      </c>
      <c r="T61" s="10"/>
      <c r="U61" s="10" t="n">
        <v>419910</v>
      </c>
      <c r="V61" s="10"/>
      <c r="W61" s="10" t="n">
        <v>349052</v>
      </c>
      <c r="X61" s="10" t="n">
        <v>687197</v>
      </c>
      <c r="Y61" s="10" t="n">
        <v>544421</v>
      </c>
      <c r="Z61" s="10" t="n">
        <v>503719</v>
      </c>
      <c r="AA61" s="10"/>
      <c r="AB61" s="10"/>
      <c r="AC61" s="10" t="n">
        <v>0</v>
      </c>
      <c r="AD61" s="10" t="n">
        <v>119424</v>
      </c>
      <c r="AE61" s="10" t="n">
        <v>161521</v>
      </c>
      <c r="AF61" s="10" t="n">
        <v>106895</v>
      </c>
      <c r="AG61" s="10" t="n">
        <v>0</v>
      </c>
      <c r="AH61" s="10" t="n">
        <v>185400</v>
      </c>
      <c r="AI61" s="10" t="n">
        <v>129163</v>
      </c>
      <c r="AJ61" s="10" t="n">
        <v>128914</v>
      </c>
      <c r="AK61" s="10"/>
      <c r="AL61" s="10" t="n">
        <f aca="false">SUMIF($C$4:$AJ$4, AL$4,$C61:$AJ61)</f>
        <v>2480836</v>
      </c>
      <c r="AM61" s="10" t="n">
        <f aca="false">SUMIF($C$4:$AJ$4, AM$4,$C61:$AJ61)</f>
        <v>1402050</v>
      </c>
      <c r="AN61" s="10" t="n">
        <f aca="false">SUMIF($C$4:$AJ$4, AN$4,$C61:$AJ61)</f>
        <v>2504299</v>
      </c>
      <c r="AO61" s="10" t="n">
        <f aca="false">SUMIF($C$4:$AJ$4, AO$4,$C61:$AJ61)</f>
        <v>119424</v>
      </c>
      <c r="AP61" s="10" t="n">
        <f aca="false">SUMIF($C$4:$AJ$4, AP$4,$C61:$AJ61)</f>
        <v>711893</v>
      </c>
      <c r="AQ61" s="10"/>
      <c r="AR61" s="10" t="n">
        <f aca="false">SUM(C61:AJ61)</f>
        <v>7218502</v>
      </c>
    </row>
    <row r="62" s="15" customFormat="true" ht="16.25" hidden="false" customHeight="false" outlineLevel="0" collapsed="false">
      <c r="A62" s="0" t="s">
        <v>50</v>
      </c>
      <c r="B62" s="0" t="s">
        <v>61</v>
      </c>
      <c r="C62" s="10"/>
      <c r="D62" s="10" t="n">
        <v>79973</v>
      </c>
      <c r="E62" s="10"/>
      <c r="F62" s="10"/>
      <c r="G62" s="10" t="n">
        <v>147447</v>
      </c>
      <c r="H62" s="10"/>
      <c r="I62" s="10" t="n">
        <v>29475</v>
      </c>
      <c r="J62" s="10"/>
      <c r="K62" s="10" t="n">
        <v>21515</v>
      </c>
      <c r="L62" s="10"/>
      <c r="M62" s="10"/>
      <c r="N62" s="10"/>
      <c r="O62" s="10" t="n">
        <v>59171</v>
      </c>
      <c r="P62" s="10" t="n">
        <v>121597</v>
      </c>
      <c r="Q62" s="10"/>
      <c r="R62" s="10" t="n">
        <v>0</v>
      </c>
      <c r="S62" s="10" t="n">
        <v>137535</v>
      </c>
      <c r="T62" s="10"/>
      <c r="U62" s="10" t="n">
        <v>0</v>
      </c>
      <c r="V62" s="10"/>
      <c r="W62" s="10" t="n">
        <v>289715</v>
      </c>
      <c r="X62" s="10" t="n">
        <v>0</v>
      </c>
      <c r="Y62" s="10" t="n">
        <v>0</v>
      </c>
      <c r="Z62" s="10" t="n">
        <v>147155</v>
      </c>
      <c r="AA62" s="10"/>
      <c r="AB62" s="10"/>
      <c r="AC62" s="10" t="n">
        <v>282093</v>
      </c>
      <c r="AD62" s="10" t="n">
        <v>0</v>
      </c>
      <c r="AE62" s="10" t="n">
        <v>365291</v>
      </c>
      <c r="AF62" s="10" t="n">
        <v>257351</v>
      </c>
      <c r="AG62" s="10" t="n">
        <v>235996</v>
      </c>
      <c r="AH62" s="10" t="n">
        <v>0</v>
      </c>
      <c r="AI62" s="10" t="n">
        <v>0</v>
      </c>
      <c r="AJ62" s="10" t="n">
        <v>0</v>
      </c>
      <c r="AK62" s="10"/>
      <c r="AL62" s="10" t="n">
        <f aca="false">SUMIF($C$4:$AJ$4, AL$4,$C62:$AJ62)</f>
        <v>256895</v>
      </c>
      <c r="AM62" s="10" t="n">
        <f aca="false">SUMIF($C$4:$AJ$4, AM$4,$C62:$AJ62)</f>
        <v>339818</v>
      </c>
      <c r="AN62" s="10" t="n">
        <f aca="false">SUMIF($C$4:$AJ$4, AN$4,$C62:$AJ62)</f>
        <v>436870</v>
      </c>
      <c r="AO62" s="10" t="n">
        <f aca="false">SUMIF($C$4:$AJ$4, AO$4,$C62:$AJ62)</f>
        <v>282093</v>
      </c>
      <c r="AP62" s="10" t="n">
        <f aca="false">SUMIF($C$4:$AJ$4, AP$4,$C62:$AJ62)</f>
        <v>858638</v>
      </c>
      <c r="AQ62" s="10"/>
      <c r="AR62" s="10" t="n">
        <f aca="false">SUM(C62:AJ62)</f>
        <v>2174314</v>
      </c>
      <c r="AS62" s="0"/>
      <c r="AT62" s="0"/>
      <c r="AU62" s="0"/>
      <c r="AV62" s="0"/>
      <c r="AW62" s="0"/>
    </row>
    <row r="63" s="16" customFormat="true" ht="16.25" hidden="false" customHeight="false" outlineLevel="0" collapsed="false">
      <c r="A63" s="0" t="s">
        <v>51</v>
      </c>
      <c r="B63" s="0" t="s">
        <v>61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 t="n">
        <v>174963</v>
      </c>
      <c r="P63" s="10" t="n">
        <v>276413</v>
      </c>
      <c r="Q63" s="10" t="n">
        <v>168783</v>
      </c>
      <c r="R63" s="10" t="n">
        <v>125766</v>
      </c>
      <c r="S63" s="10" t="n">
        <v>0</v>
      </c>
      <c r="T63" s="10"/>
      <c r="U63" s="10" t="n">
        <v>0</v>
      </c>
      <c r="V63" s="10"/>
      <c r="W63" s="10" t="n">
        <v>0</v>
      </c>
      <c r="X63" s="10" t="n">
        <v>0</v>
      </c>
      <c r="Y63" s="10" t="n">
        <v>300935</v>
      </c>
      <c r="Z63" s="10" t="n">
        <v>0</v>
      </c>
      <c r="AA63" s="10"/>
      <c r="AB63" s="10"/>
      <c r="AC63" s="10" t="n">
        <v>39885</v>
      </c>
      <c r="AD63" s="10" t="n">
        <v>0</v>
      </c>
      <c r="AE63" s="10" t="n">
        <v>41200</v>
      </c>
      <c r="AF63" s="10" t="n">
        <v>139005</v>
      </c>
      <c r="AG63" s="10" t="n">
        <v>195787</v>
      </c>
      <c r="AH63" s="10" t="n">
        <v>161773</v>
      </c>
      <c r="AI63" s="10" t="n">
        <v>103082</v>
      </c>
      <c r="AJ63" s="10" t="n">
        <v>131156</v>
      </c>
      <c r="AK63" s="10"/>
      <c r="AL63" s="10" t="n">
        <f aca="false">SUMIF($C$4:$AJ$4, AL$4,$C63:$AJ63)</f>
        <v>0</v>
      </c>
      <c r="AM63" s="10" t="n">
        <f aca="false">SUMIF($C$4:$AJ$4, AM$4,$C63:$AJ63)</f>
        <v>745925</v>
      </c>
      <c r="AN63" s="10" t="n">
        <f aca="false">SUMIF($C$4:$AJ$4, AN$4,$C63:$AJ63)</f>
        <v>300935</v>
      </c>
      <c r="AO63" s="10" t="n">
        <f aca="false">SUMIF($C$4:$AJ$4, AO$4,$C63:$AJ63)</f>
        <v>39885</v>
      </c>
      <c r="AP63" s="10" t="n">
        <f aca="false">SUMIF($C$4:$AJ$4, AP$4,$C63:$AJ63)</f>
        <v>772003</v>
      </c>
      <c r="AQ63" s="10"/>
      <c r="AR63" s="10" t="n">
        <f aca="false">SUM(C63:AJ63)</f>
        <v>1858748</v>
      </c>
      <c r="AS63" s="0"/>
      <c r="AT63" s="0"/>
      <c r="AU63" s="0"/>
      <c r="AV63" s="0"/>
      <c r="AW63" s="0"/>
    </row>
    <row r="64" s="16" customFormat="true" ht="12.75" hidden="false" customHeight="false" outlineLevel="0" collapsed="false">
      <c r="A64" s="0" t="s">
        <v>52</v>
      </c>
      <c r="B64" s="0" t="s">
        <v>61</v>
      </c>
      <c r="C64" s="10" t="n">
        <v>1926934</v>
      </c>
      <c r="D64" s="10" t="n">
        <v>1524520</v>
      </c>
      <c r="E64" s="10" t="n">
        <v>522930</v>
      </c>
      <c r="F64" s="10" t="n">
        <v>1402178</v>
      </c>
      <c r="G64" s="10" t="n">
        <v>1327032</v>
      </c>
      <c r="H64" s="10" t="n">
        <v>1467332</v>
      </c>
      <c r="I64" s="10" t="n">
        <v>1854355</v>
      </c>
      <c r="J64" s="10"/>
      <c r="K64" s="10" t="n">
        <v>1080468</v>
      </c>
      <c r="L64" s="10"/>
      <c r="M64" s="10" t="n">
        <v>675999</v>
      </c>
      <c r="N64" s="10"/>
      <c r="O64" s="10" t="n">
        <v>1174934</v>
      </c>
      <c r="P64" s="10" t="n">
        <v>1382733</v>
      </c>
      <c r="Q64" s="10" t="n">
        <v>1156838</v>
      </c>
      <c r="R64" s="10" t="n">
        <v>425031</v>
      </c>
      <c r="S64" s="10" t="n">
        <v>848329</v>
      </c>
      <c r="T64" s="10"/>
      <c r="U64" s="10" t="n">
        <v>427488</v>
      </c>
      <c r="V64" s="10"/>
      <c r="W64" s="10" t="n">
        <v>1254952</v>
      </c>
      <c r="X64" s="10" t="n">
        <v>1213362</v>
      </c>
      <c r="Y64" s="10" t="n">
        <v>1097039</v>
      </c>
      <c r="Z64" s="10" t="n">
        <v>908204</v>
      </c>
      <c r="AA64" s="10"/>
      <c r="AB64" s="10"/>
      <c r="AC64" s="10" t="n">
        <v>391661</v>
      </c>
      <c r="AD64" s="10" t="n">
        <v>220313</v>
      </c>
      <c r="AE64" s="10" t="n">
        <v>1106261</v>
      </c>
      <c r="AF64" s="10" t="n">
        <v>312667</v>
      </c>
      <c r="AG64" s="10" t="n">
        <v>1041108</v>
      </c>
      <c r="AH64" s="10" t="n">
        <v>1385623</v>
      </c>
      <c r="AI64" s="10" t="n">
        <v>1509869</v>
      </c>
      <c r="AJ64" s="10" t="n">
        <v>1152758</v>
      </c>
      <c r="AK64" s="10"/>
      <c r="AL64" s="10" t="n">
        <f aca="false">SUMIF($C$4:$AJ$4, AL$4,$C64:$AJ64)</f>
        <v>10025281</v>
      </c>
      <c r="AM64" s="10" t="n">
        <f aca="false">SUMIF($C$4:$AJ$4, AM$4,$C64:$AJ64)</f>
        <v>6744332</v>
      </c>
      <c r="AN64" s="10" t="n">
        <f aca="false">SUMIF($C$4:$AJ$4, AN$4,$C64:$AJ64)</f>
        <v>4901045</v>
      </c>
      <c r="AO64" s="10" t="n">
        <f aca="false">SUMIF($C$4:$AJ$4, AO$4,$C64:$AJ64)</f>
        <v>611974</v>
      </c>
      <c r="AP64" s="10" t="n">
        <f aca="false">SUMIF($C$4:$AJ$4, AP$4,$C64:$AJ64)</f>
        <v>6508286</v>
      </c>
      <c r="AQ64" s="10"/>
      <c r="AR64" s="10" t="n">
        <f aca="false">SUM(C64:AJ64)</f>
        <v>28790918</v>
      </c>
      <c r="AS64" s="0"/>
      <c r="AT64" s="0"/>
      <c r="AU64" s="0"/>
      <c r="AV64" s="0"/>
      <c r="AW64" s="0"/>
    </row>
    <row r="65" s="16" customFormat="tru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</row>
    <row r="66" s="15" customFormat="true" ht="12.75" hidden="false" customHeight="false" outlineLevel="0" collapsed="false">
      <c r="A66" s="0" t="s">
        <v>53</v>
      </c>
      <c r="B66" s="0" t="s">
        <v>61</v>
      </c>
      <c r="C66" s="10" t="n">
        <v>53588</v>
      </c>
      <c r="D66" s="10" t="n">
        <v>14438</v>
      </c>
      <c r="E66" s="10" t="n">
        <v>6099</v>
      </c>
      <c r="F66" s="10" t="n">
        <v>16837</v>
      </c>
      <c r="G66" s="10" t="n">
        <v>26133</v>
      </c>
      <c r="H66" s="10" t="n">
        <v>18962</v>
      </c>
      <c r="I66" s="10" t="n">
        <v>20726</v>
      </c>
      <c r="J66" s="10"/>
      <c r="K66" s="10" t="n">
        <v>26128</v>
      </c>
      <c r="L66" s="10"/>
      <c r="M66" s="10" t="n">
        <v>23603</v>
      </c>
      <c r="N66" s="10"/>
      <c r="O66" s="10" t="n">
        <v>12505</v>
      </c>
      <c r="P66" s="10" t="n">
        <v>32790</v>
      </c>
      <c r="Q66" s="10" t="n">
        <v>34974</v>
      </c>
      <c r="R66" s="10" t="n">
        <v>20328</v>
      </c>
      <c r="S66" s="10" t="n">
        <v>27253</v>
      </c>
      <c r="T66" s="10"/>
      <c r="U66" s="10" t="n">
        <v>5084</v>
      </c>
      <c r="V66" s="10"/>
      <c r="W66" s="10" t="n">
        <v>31535</v>
      </c>
      <c r="X66" s="10" t="n">
        <v>45451</v>
      </c>
      <c r="Y66" s="10" t="n">
        <v>25890</v>
      </c>
      <c r="Z66" s="10" t="n">
        <v>21472</v>
      </c>
      <c r="AA66" s="10" t="n">
        <v>19615</v>
      </c>
      <c r="AB66" s="10" t="n">
        <v>20845</v>
      </c>
      <c r="AC66" s="10" t="n">
        <v>39117</v>
      </c>
      <c r="AD66" s="10" t="n">
        <v>7076</v>
      </c>
      <c r="AE66" s="10" t="n">
        <v>26209</v>
      </c>
      <c r="AF66" s="10" t="n">
        <v>19519</v>
      </c>
      <c r="AG66" s="10" t="n">
        <v>22013</v>
      </c>
      <c r="AH66" s="10" t="n">
        <v>23108</v>
      </c>
      <c r="AI66" s="10" t="n">
        <v>29919</v>
      </c>
      <c r="AJ66" s="10" t="n">
        <v>23528</v>
      </c>
      <c r="AK66" s="10"/>
      <c r="AL66" s="10" t="n">
        <f aca="false">SUMIF($C$4:$AJ$4, AL$4,$C66:$AJ66)</f>
        <v>156783</v>
      </c>
      <c r="AM66" s="10" t="n">
        <f aca="false">SUMIF($C$4:$AJ$4, AM$4,$C66:$AJ66)</f>
        <v>177581</v>
      </c>
      <c r="AN66" s="10" t="n">
        <f aca="false">SUMIF($C$4:$AJ$4, AN$4,$C66:$AJ66)</f>
        <v>169892</v>
      </c>
      <c r="AO66" s="10" t="n">
        <f aca="false">SUMIF($C$4:$AJ$4, AO$4,$C66:$AJ66)</f>
        <v>46193</v>
      </c>
      <c r="AP66" s="10" t="n">
        <f aca="false">SUMIF($C$4:$AJ$4, AP$4,$C66:$AJ66)</f>
        <v>144296</v>
      </c>
      <c r="AQ66" s="10"/>
      <c r="AR66" s="10" t="n">
        <f aca="false">SUM(C66:AJ66)</f>
        <v>694745</v>
      </c>
      <c r="AS66" s="0"/>
      <c r="AT66" s="0"/>
      <c r="AU66" s="0"/>
      <c r="AV66" s="0"/>
      <c r="AW66" s="0"/>
    </row>
    <row r="67" s="15" customFormat="true" ht="16.25" hidden="false" customHeight="false" outlineLevel="0" collapsed="false">
      <c r="A67" s="0" t="s">
        <v>58</v>
      </c>
      <c r="B67" s="0" t="s">
        <v>61</v>
      </c>
      <c r="C67" s="14" t="n">
        <f aca="false">C56/C66</f>
        <v>118.469862655818</v>
      </c>
      <c r="D67" s="14" t="n">
        <f aca="false">D56/D66</f>
        <v>224.157362515584</v>
      </c>
      <c r="E67" s="14" t="n">
        <f aca="false">E56/E66</f>
        <v>321.35432038039</v>
      </c>
      <c r="F67" s="14" t="n">
        <f aca="false">F56/F66</f>
        <v>208.406901467007</v>
      </c>
      <c r="G67" s="14" t="n">
        <f aca="false">G56/G66</f>
        <v>81.6716029541193</v>
      </c>
      <c r="H67" s="14" t="n">
        <f aca="false">H56/H66</f>
        <v>205.513975319059</v>
      </c>
      <c r="I67" s="14" t="n">
        <f aca="false">I56/I66</f>
        <v>215.984270964007</v>
      </c>
      <c r="J67" s="14" t="e">
        <f aca="false">J56/J66</f>
        <v>#DIV/0!</v>
      </c>
      <c r="K67" s="14" t="n">
        <f aca="false">K56/K66</f>
        <v>133.766342620943</v>
      </c>
      <c r="L67" s="14" t="e">
        <f aca="false">L56/L66</f>
        <v>#DIV/0!</v>
      </c>
      <c r="M67" s="14" t="n">
        <f aca="false">M56/M66</f>
        <v>80.5138329873321</v>
      </c>
      <c r="N67" s="14" t="e">
        <f aca="false">N56/N66</f>
        <v>#DIV/0!</v>
      </c>
      <c r="O67" s="14" t="n">
        <f aca="false">O56/O66</f>
        <v>184.177129148341</v>
      </c>
      <c r="P67" s="14" t="n">
        <f aca="false">P56/P66</f>
        <v>127.000182982617</v>
      </c>
      <c r="Q67" s="14" t="n">
        <f aca="false">Q56/Q66</f>
        <v>92.8029393263567</v>
      </c>
      <c r="R67" s="14" t="n">
        <f aca="false">R56/R66</f>
        <v>73.4167158598977</v>
      </c>
      <c r="S67" s="14" t="n">
        <f aca="false">S56/S66</f>
        <v>121.319230910359</v>
      </c>
      <c r="T67" s="14" t="e">
        <f aca="false">T56/T66</f>
        <v>#DIV/0!</v>
      </c>
      <c r="U67" s="14" t="n">
        <f aca="false">U56/U66</f>
        <v>247.338316286389</v>
      </c>
      <c r="V67" s="14" t="e">
        <f aca="false">V56/V66</f>
        <v>#DIV/0!</v>
      </c>
      <c r="W67" s="14" t="n">
        <f aca="false">W56/W66</f>
        <v>102.741969240526</v>
      </c>
      <c r="X67" s="14" t="n">
        <f aca="false">X56/X66</f>
        <v>115.813513454049</v>
      </c>
      <c r="Y67" s="14" t="n">
        <f aca="false">Y56/Y66</f>
        <v>161.0224797219</v>
      </c>
      <c r="Z67" s="14" t="n">
        <f aca="false">Z56/Z66</f>
        <v>143.782414307004</v>
      </c>
      <c r="AA67" s="14" t="n">
        <f aca="false">AA56/AA66</f>
        <v>0</v>
      </c>
      <c r="AB67" s="14" t="n">
        <f aca="false">AB56/AB66</f>
        <v>0</v>
      </c>
      <c r="AC67" s="14" t="n">
        <f aca="false">AC56/AC66</f>
        <v>26.81777743692</v>
      </c>
      <c r="AD67" s="14" t="n">
        <f aca="false">AD56/AD66</f>
        <v>146.024166195591</v>
      </c>
      <c r="AE67" s="14" t="n">
        <f aca="false">AE56/AE66</f>
        <v>172.359456675188</v>
      </c>
      <c r="AF67" s="14" t="n">
        <f aca="false">AF56/AF66</f>
        <v>140.573236333829</v>
      </c>
      <c r="AG67" s="14" t="n">
        <f aca="false">AG56/AG66</f>
        <v>201.936719211375</v>
      </c>
      <c r="AH67" s="14" t="n">
        <f aca="false">AH56/AH66</f>
        <v>190.383027522936</v>
      </c>
      <c r="AI67" s="14" t="n">
        <f aca="false">AI56/AI66</f>
        <v>165.05153915572</v>
      </c>
      <c r="AJ67" s="14" t="n">
        <f aca="false">AJ56/AJ66</f>
        <v>171.945384223053</v>
      </c>
      <c r="AK67" s="14"/>
      <c r="AL67" s="14" t="n">
        <f aca="false">AL56/AL66</f>
        <v>163.038109999171</v>
      </c>
      <c r="AM67" s="14" t="n">
        <f aca="false">AM56/AM66</f>
        <v>112.102668641352</v>
      </c>
      <c r="AN67" s="14" t="n">
        <f aca="false">AN56/AN66</f>
        <v>100.16624679208</v>
      </c>
      <c r="AO67" s="14" t="n">
        <f aca="false">AO56/AO66</f>
        <v>45.0782153140086</v>
      </c>
      <c r="AP67" s="14" t="n">
        <f aca="false">AP56/AP66</f>
        <v>173.875436602539</v>
      </c>
      <c r="AQ67" s="14"/>
      <c r="AR67" s="14" t="n">
        <f aca="false">AR56/AR66</f>
        <v>129.051925526632</v>
      </c>
      <c r="AS67" s="0"/>
      <c r="AT67" s="0"/>
      <c r="AU67" s="0"/>
      <c r="AV67" s="0"/>
      <c r="AW67" s="0"/>
    </row>
    <row r="68" s="16" customFormat="true" ht="16.25" hidden="false" customHeight="false" outlineLevel="0" collapsed="false">
      <c r="A68" s="0" t="s">
        <v>59</v>
      </c>
      <c r="B68" s="0" t="s">
        <v>61</v>
      </c>
      <c r="C68" s="14" t="n">
        <f aca="false">C64/C66</f>
        <v>35.9583115622901</v>
      </c>
      <c r="D68" s="14" t="n">
        <f aca="false">D64/D66</f>
        <v>105.590802050145</v>
      </c>
      <c r="E68" s="14" t="n">
        <f aca="false">E64/E66</f>
        <v>85.7402852926709</v>
      </c>
      <c r="F68" s="14" t="n">
        <f aca="false">F64/F66</f>
        <v>83.2795628674942</v>
      </c>
      <c r="G68" s="14" t="n">
        <f aca="false">G64/G66</f>
        <v>50.7799334175181</v>
      </c>
      <c r="H68" s="14" t="n">
        <f aca="false">H64/H66</f>
        <v>77.3827655310621</v>
      </c>
      <c r="I68" s="14" t="n">
        <f aca="false">I64/I66</f>
        <v>89.4699893853131</v>
      </c>
      <c r="J68" s="14" t="e">
        <f aca="false">J64/J66</f>
        <v>#DIV/0!</v>
      </c>
      <c r="K68" s="14" t="n">
        <f aca="false">K64/K66</f>
        <v>41.3528781383956</v>
      </c>
      <c r="L68" s="14" t="e">
        <f aca="false">L64/L66</f>
        <v>#DIV/0!</v>
      </c>
      <c r="M68" s="14" t="n">
        <f aca="false">M64/M66</f>
        <v>28.6403846968606</v>
      </c>
      <c r="N68" s="14" t="e">
        <f aca="false">N64/N66</f>
        <v>#DIV/0!</v>
      </c>
      <c r="O68" s="14" t="n">
        <f aca="false">O64/O66</f>
        <v>93.9571371451419</v>
      </c>
      <c r="P68" s="14" t="n">
        <f aca="false">P64/P66</f>
        <v>42.1693504117109</v>
      </c>
      <c r="Q68" s="14" t="n">
        <f aca="false">Q64/Q66</f>
        <v>33.0770858351919</v>
      </c>
      <c r="R68" s="14" t="n">
        <f aca="false">R64/R66</f>
        <v>20.9086481700118</v>
      </c>
      <c r="S68" s="14" t="n">
        <f aca="false">S64/S66</f>
        <v>31.1279125233919</v>
      </c>
      <c r="T68" s="14" t="e">
        <f aca="false">T64/T66</f>
        <v>#DIV/0!</v>
      </c>
      <c r="U68" s="14" t="n">
        <f aca="false">U64/U66</f>
        <v>84.0849724626279</v>
      </c>
      <c r="V68" s="14" t="e">
        <f aca="false">V64/V66</f>
        <v>#DIV/0!</v>
      </c>
      <c r="W68" s="14" t="n">
        <f aca="false">W64/W66</f>
        <v>39.7955287775488</v>
      </c>
      <c r="X68" s="14" t="n">
        <f aca="false">X64/X66</f>
        <v>26.6960462916107</v>
      </c>
      <c r="Y68" s="14" t="n">
        <f aca="false">Y64/Y66</f>
        <v>42.373078408652</v>
      </c>
      <c r="Z68" s="14" t="n">
        <f aca="false">Z64/Z66</f>
        <v>42.297131147541</v>
      </c>
      <c r="AA68" s="14" t="n">
        <f aca="false">AA64/AA66</f>
        <v>0</v>
      </c>
      <c r="AB68" s="14" t="n">
        <f aca="false">AB64/AB66</f>
        <v>0</v>
      </c>
      <c r="AC68" s="14" t="n">
        <f aca="false">AC64/AC66</f>
        <v>10.0125520873278</v>
      </c>
      <c r="AD68" s="14" t="n">
        <f aca="false">AD64/AD66</f>
        <v>31.1352459016393</v>
      </c>
      <c r="AE68" s="14" t="n">
        <f aca="false">AE64/AE66</f>
        <v>42.2092029455531</v>
      </c>
      <c r="AF68" s="14" t="n">
        <f aca="false">AF64/AF66</f>
        <v>16.0185972642041</v>
      </c>
      <c r="AG68" s="14" t="n">
        <f aca="false">AG64/AG66</f>
        <v>47.2951437786762</v>
      </c>
      <c r="AH68" s="14" t="n">
        <f aca="false">AH64/AH66</f>
        <v>59.9629132767873</v>
      </c>
      <c r="AI68" s="14" t="n">
        <f aca="false">AI64/AI66</f>
        <v>50.4652227681407</v>
      </c>
      <c r="AJ68" s="14" t="n">
        <f aca="false">AJ64/AJ66</f>
        <v>48.9951547092826</v>
      </c>
      <c r="AK68" s="14"/>
      <c r="AL68" s="14" t="n">
        <f aca="false">AL64/AL66</f>
        <v>63.9436737401376</v>
      </c>
      <c r="AM68" s="14" t="n">
        <f aca="false">AM64/AM66</f>
        <v>37.9789054009156</v>
      </c>
      <c r="AN68" s="14" t="n">
        <f aca="false">AN64/AN66</f>
        <v>28.8480034374779</v>
      </c>
      <c r="AO68" s="14" t="n">
        <f aca="false">AO64/AO66</f>
        <v>13.2481977788842</v>
      </c>
      <c r="AP68" s="14" t="n">
        <f aca="false">AP64/AP66</f>
        <v>45.1037173587625</v>
      </c>
      <c r="AQ68" s="14"/>
      <c r="AR68" s="14" t="n">
        <f aca="false">AR64/AR66</f>
        <v>41.4409862611462</v>
      </c>
      <c r="AS68" s="0"/>
      <c r="AT68" s="0"/>
      <c r="AU68" s="0"/>
      <c r="AV68" s="0"/>
      <c r="AW68" s="0"/>
    </row>
    <row r="69" s="15" customFormat="tru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</row>
    <row r="70" s="16" customFormat="true" ht="16.25" hidden="false" customHeight="false" outlineLevel="0" collapsed="false">
      <c r="A70" s="0" t="s">
        <v>43</v>
      </c>
      <c r="B70" s="0" t="s">
        <v>62</v>
      </c>
      <c r="C70" s="12" t="n">
        <f aca="false">C11/C58</f>
        <v>1.23975635244793</v>
      </c>
      <c r="D70" s="12" t="e">
        <f aca="false">D11/D58</f>
        <v>#DIV/0!</v>
      </c>
      <c r="E70" s="12" t="n">
        <f aca="false">E11/E58</f>
        <v>2.38293152211626</v>
      </c>
      <c r="F70" s="12" t="n">
        <f aca="false">F11/F58</f>
        <v>1.5834545472581</v>
      </c>
      <c r="G70" s="12" t="e">
        <f aca="false">G11/G58</f>
        <v>#DIV/0!</v>
      </c>
      <c r="H70" s="12" t="n">
        <f aca="false">H11/H58</f>
        <v>1.52822978068586</v>
      </c>
      <c r="I70" s="12" t="n">
        <f aca="false">I11/I58</f>
        <v>0.93385354710669</v>
      </c>
      <c r="J70" s="12" t="e">
        <f aca="false">J11/J58</f>
        <v>#DIV/0!</v>
      </c>
      <c r="K70" s="12" t="n">
        <f aca="false">K11/K58</f>
        <v>0.693493150684932</v>
      </c>
      <c r="L70" s="12" t="e">
        <f aca="false">L11/L58</f>
        <v>#DIV/0!</v>
      </c>
      <c r="M70" s="12" t="n">
        <f aca="false">M11/M58</f>
        <v>1.39954563316632</v>
      </c>
      <c r="N70" s="12" t="e">
        <f aca="false">N11/N58</f>
        <v>#DIV/0!</v>
      </c>
      <c r="O70" s="12" t="n">
        <f aca="false">O11/O58</f>
        <v>6.36393942576622</v>
      </c>
      <c r="P70" s="12" t="n">
        <f aca="false">P11/P58</f>
        <v>0.984740502232328</v>
      </c>
      <c r="Q70" s="12" t="n">
        <f aca="false">Q11/Q58</f>
        <v>2.16585770706427</v>
      </c>
      <c r="R70" s="12" t="n">
        <f aca="false">R11/R58</f>
        <v>2.54049323211185</v>
      </c>
      <c r="S70" s="12" t="n">
        <f aca="false">S11/S58</f>
        <v>1.20390720814934</v>
      </c>
      <c r="T70" s="12" t="e">
        <f aca="false">T11/T58</f>
        <v>#DIV/0!</v>
      </c>
      <c r="U70" s="12" t="e">
        <f aca="false">U11/U58</f>
        <v>#DIV/0!</v>
      </c>
      <c r="V70" s="12" t="e">
        <f aca="false">V11/V58</f>
        <v>#DIV/0!</v>
      </c>
      <c r="W70" s="12" t="n">
        <f aca="false">W11/W58</f>
        <v>1.74591339522713</v>
      </c>
      <c r="X70" s="12" t="n">
        <f aca="false">X11/X58</f>
        <v>1.14107467890218</v>
      </c>
      <c r="Y70" s="12" t="n">
        <f aca="false">Y11/Y58</f>
        <v>0.748821852750908</v>
      </c>
      <c r="Z70" s="12" t="n">
        <f aca="false">Z11/Z58</f>
        <v>1.45215498500386</v>
      </c>
      <c r="AA70" s="12" t="e">
        <f aca="false">AA11/AA58</f>
        <v>#DIV/0!</v>
      </c>
      <c r="AB70" s="12" t="e">
        <f aca="false">AB11/AB58</f>
        <v>#DIV/0!</v>
      </c>
      <c r="AC70" s="12" t="e">
        <f aca="false">AC11/AC58</f>
        <v>#DIV/0!</v>
      </c>
      <c r="AD70" s="12" t="n">
        <f aca="false">AD11/AD58</f>
        <v>0.872715710154666</v>
      </c>
      <c r="AE70" s="12" t="n">
        <f aca="false">AE11/AE58</f>
        <v>1.30558278831773</v>
      </c>
      <c r="AF70" s="12" t="n">
        <f aca="false">AF11/AF58</f>
        <v>1.368800921858</v>
      </c>
      <c r="AG70" s="12" t="n">
        <f aca="false">AG11/AG58</f>
        <v>1.040794100515</v>
      </c>
      <c r="AH70" s="12" t="n">
        <f aca="false">AH11/AH58</f>
        <v>1.21481875031889</v>
      </c>
      <c r="AI70" s="12" t="n">
        <f aca="false">AI11/AI58</f>
        <v>1.57813112892178</v>
      </c>
      <c r="AJ70" s="12" t="n">
        <f aca="false">AJ11/AJ58</f>
        <v>1.37355709292759</v>
      </c>
      <c r="AK70" s="12"/>
      <c r="AL70" s="12" t="n">
        <f aca="false">AL11/AL58</f>
        <v>1.4887138951089</v>
      </c>
      <c r="AM70" s="12" t="n">
        <f aca="false">AM11/AM58</f>
        <v>1.59853014772702</v>
      </c>
      <c r="AN70" s="12" t="n">
        <f aca="false">AN11/AN58</f>
        <v>1.64792816054935</v>
      </c>
      <c r="AO70" s="12" t="n">
        <f aca="false">AO11/AO58</f>
        <v>0.872715710154666</v>
      </c>
      <c r="AP70" s="12" t="n">
        <f aca="false">AP11/AP58</f>
        <v>1.30349933848355</v>
      </c>
      <c r="AQ70" s="0"/>
      <c r="AR70" s="12" t="n">
        <f aca="false">AR11/AR58</f>
        <v>1.46849970184219</v>
      </c>
      <c r="AS70" s="0"/>
      <c r="AT70" s="0"/>
      <c r="AU70" s="0"/>
      <c r="AV70" s="0"/>
      <c r="AW70" s="0"/>
    </row>
    <row r="71" s="15" customFormat="true" ht="16.25" hidden="false" customHeight="false" outlineLevel="0" collapsed="false">
      <c r="A71" s="0" t="s">
        <v>47</v>
      </c>
      <c r="B71" s="0" t="s">
        <v>62</v>
      </c>
      <c r="C71" s="12" t="e">
        <f aca="false">C13/C59</f>
        <v>#DIV/0!</v>
      </c>
      <c r="D71" s="12" t="e">
        <f aca="false">D13/D59</f>
        <v>#DIV/0!</v>
      </c>
      <c r="E71" s="12" t="n">
        <f aca="false">E13/E59</f>
        <v>5.02375056393804</v>
      </c>
      <c r="F71" s="12" t="e">
        <f aca="false">F13/F59</f>
        <v>#DIV/0!</v>
      </c>
      <c r="G71" s="12" t="e">
        <f aca="false">G13/G59</f>
        <v>#DIV/0!</v>
      </c>
      <c r="H71" s="12" t="n">
        <f aca="false">H13/H59</f>
        <v>0.548244999946149</v>
      </c>
      <c r="I71" s="12" t="n">
        <f aca="false">I13/I59</f>
        <v>1.1035666947825</v>
      </c>
      <c r="J71" s="12" t="e">
        <f aca="false">J13/J59</f>
        <v>#DIV/0!</v>
      </c>
      <c r="K71" s="12" t="n">
        <f aca="false">K13/K59</f>
        <v>1.67415378350015</v>
      </c>
      <c r="L71" s="12" t="e">
        <f aca="false">L13/L59</f>
        <v>#DIV/0!</v>
      </c>
      <c r="M71" s="12" t="e">
        <f aca="false">M13/M59</f>
        <v>#DIV/0!</v>
      </c>
      <c r="N71" s="12" t="e">
        <f aca="false">N13/N59</f>
        <v>#DIV/0!</v>
      </c>
      <c r="O71" s="12" t="n">
        <f aca="false">O13/O59</f>
        <v>1.75636018298066</v>
      </c>
      <c r="P71" s="12" t="n">
        <f aca="false">P13/P59</f>
        <v>1.19770534809969</v>
      </c>
      <c r="Q71" s="12" t="n">
        <f aca="false">Q13/Q59</f>
        <v>2.18498494908771</v>
      </c>
      <c r="R71" s="12" t="e">
        <f aca="false">R13/R59</f>
        <v>#DIV/0!</v>
      </c>
      <c r="S71" s="12" t="n">
        <f aca="false">S13/S59</f>
        <v>1.81331037893776</v>
      </c>
      <c r="T71" s="12" t="e">
        <f aca="false">T13/T59</f>
        <v>#DIV/0!</v>
      </c>
      <c r="U71" s="12" t="e">
        <f aca="false">U13/U59</f>
        <v>#DIV/0!</v>
      </c>
      <c r="V71" s="12" t="e">
        <f aca="false">V13/V59</f>
        <v>#DIV/0!</v>
      </c>
      <c r="W71" s="12" t="e">
        <f aca="false">W13/W59</f>
        <v>#DIV/0!</v>
      </c>
      <c r="X71" s="12" t="n">
        <f aca="false">X13/X59</f>
        <v>0.978417079561078</v>
      </c>
      <c r="Y71" s="12" t="n">
        <f aca="false">Y13/Y59</f>
        <v>0.688668416706935</v>
      </c>
      <c r="Z71" s="12" t="n">
        <f aca="false">Z13/Z59</f>
        <v>1.01607610806114</v>
      </c>
      <c r="AA71" s="12" t="e">
        <f aca="false">AA13/AA59</f>
        <v>#DIV/0!</v>
      </c>
      <c r="AB71" s="12" t="e">
        <f aca="false">AB13/AB59</f>
        <v>#DIV/0!</v>
      </c>
      <c r="AC71" s="12" t="n">
        <f aca="false">AC13/AC59</f>
        <v>1.04023778434472</v>
      </c>
      <c r="AD71" s="12" t="n">
        <f aca="false">AD13/AD59</f>
        <v>4.0934451135802</v>
      </c>
      <c r="AE71" s="12" t="n">
        <f aca="false">AE13/AE59</f>
        <v>1.0124589870715</v>
      </c>
      <c r="AF71" s="12" t="n">
        <f aca="false">AF13/AF59</f>
        <v>0.908964850131333</v>
      </c>
      <c r="AG71" s="12" t="n">
        <f aca="false">AG13/AG59</f>
        <v>1.59931248195126</v>
      </c>
      <c r="AH71" s="12" t="n">
        <f aca="false">AH13/AH59</f>
        <v>1.28295784732166</v>
      </c>
      <c r="AI71" s="12" t="n">
        <f aca="false">AI13/AI59</f>
        <v>2.59059011722946</v>
      </c>
      <c r="AJ71" s="12" t="n">
        <f aca="false">AJ13/AJ59</f>
        <v>1.86253671254535</v>
      </c>
      <c r="AK71" s="12"/>
      <c r="AL71" s="12" t="n">
        <f aca="false">AL13/AL59</f>
        <v>2.21367532758308</v>
      </c>
      <c r="AM71" s="12" t="n">
        <f aca="false">AM13/AM59</f>
        <v>1.74746657131316</v>
      </c>
      <c r="AN71" s="12" t="n">
        <f aca="false">AN13/AN59</f>
        <v>1.28374137656071</v>
      </c>
      <c r="AO71" s="12" t="n">
        <f aca="false">AO13/AO59</f>
        <v>2.51850046528116</v>
      </c>
      <c r="AP71" s="12" t="n">
        <f aca="false">AP13/AP59</f>
        <v>1.44369417844305</v>
      </c>
      <c r="AQ71" s="0"/>
      <c r="AR71" s="12" t="n">
        <f aca="false">AR13/AR59</f>
        <v>1.5549780541223</v>
      </c>
      <c r="AS71" s="0"/>
      <c r="AT71" s="0"/>
      <c r="AU71" s="0"/>
      <c r="AV71" s="0"/>
      <c r="AW71" s="0"/>
    </row>
    <row r="72" s="17" customFormat="true" ht="16.25" hidden="false" customHeight="false" outlineLevel="0" collapsed="false">
      <c r="A72" s="0" t="s">
        <v>48</v>
      </c>
      <c r="B72" s="0" t="s">
        <v>62</v>
      </c>
      <c r="C72" s="12" t="n">
        <f aca="false">C15/C60</f>
        <v>1.29762777947474</v>
      </c>
      <c r="D72" s="12" t="n">
        <f aca="false">D15/D60</f>
        <v>1.24961539222795</v>
      </c>
      <c r="E72" s="12" t="n">
        <f aca="false">E15/E60</f>
        <v>2.15660208426457</v>
      </c>
      <c r="F72" s="12" t="n">
        <f aca="false">F15/F60</f>
        <v>1.42621463751596</v>
      </c>
      <c r="G72" s="12" t="n">
        <f aca="false">G15/G60</f>
        <v>2.06844924845374</v>
      </c>
      <c r="H72" s="12" t="n">
        <f aca="false">H15/H60</f>
        <v>1.2414016613127</v>
      </c>
      <c r="I72" s="12" t="n">
        <f aca="false">I15/I60</f>
        <v>1.00640959053258</v>
      </c>
      <c r="J72" s="12" t="e">
        <f aca="false">J15/J60</f>
        <v>#DIV/0!</v>
      </c>
      <c r="K72" s="12" t="n">
        <f aca="false">K15/K60</f>
        <v>1.80887323343178</v>
      </c>
      <c r="L72" s="12" t="e">
        <f aca="false">L15/L60</f>
        <v>#DIV/0!</v>
      </c>
      <c r="M72" s="12" t="n">
        <f aca="false">M15/M60</f>
        <v>1.69261101192718</v>
      </c>
      <c r="N72" s="12" t="e">
        <f aca="false">N15/N60</f>
        <v>#DIV/0!</v>
      </c>
      <c r="O72" s="12" t="n">
        <f aca="false">O15/O60</f>
        <v>7.43236663534816</v>
      </c>
      <c r="P72" s="12" t="n">
        <f aca="false">P15/P60</f>
        <v>2.11519757061857</v>
      </c>
      <c r="Q72" s="12" t="n">
        <f aca="false">Q15/Q60</f>
        <v>3.09721894552078</v>
      </c>
      <c r="R72" s="12" t="n">
        <f aca="false">R15/R60</f>
        <v>3.19011069659348</v>
      </c>
      <c r="S72" s="12" t="n">
        <f aca="false">S15/S60</f>
        <v>1.64793718784202</v>
      </c>
      <c r="T72" s="12" t="e">
        <f aca="false">T15/T60</f>
        <v>#DIV/0!</v>
      </c>
      <c r="U72" s="12" t="n">
        <f aca="false">U15/U60</f>
        <v>1.16496451825298</v>
      </c>
      <c r="V72" s="12" t="e">
        <f aca="false">V15/V60</f>
        <v>#DIV/0!</v>
      </c>
      <c r="W72" s="12" t="n">
        <f aca="false">W15/W60</f>
        <v>2.53968243892324</v>
      </c>
      <c r="X72" s="12" t="n">
        <f aca="false">X15/X60</f>
        <v>1.43910941625722</v>
      </c>
      <c r="Y72" s="12" t="n">
        <f aca="false">Y15/Y60</f>
        <v>2.24517002922934</v>
      </c>
      <c r="Z72" s="12" t="n">
        <f aca="false">Z15/Z60</f>
        <v>1.76149812403565</v>
      </c>
      <c r="AA72" s="12" t="e">
        <f aca="false">AA15/AA60</f>
        <v>#DIV/0!</v>
      </c>
      <c r="AB72" s="12" t="e">
        <f aca="false">AB15/AB60</f>
        <v>#DIV/0!</v>
      </c>
      <c r="AC72" s="12" t="n">
        <f aca="false">AC15/AC60</f>
        <v>1.81171262825231</v>
      </c>
      <c r="AD72" s="12" t="n">
        <f aca="false">AD15/AD60</f>
        <v>1.37938697694209</v>
      </c>
      <c r="AE72" s="12" t="n">
        <f aca="false">AE15/AE60</f>
        <v>1.27542845804707</v>
      </c>
      <c r="AF72" s="12" t="n">
        <f aca="false">AF15/AF60</f>
        <v>1.27853382848397</v>
      </c>
      <c r="AG72" s="12" t="n">
        <f aca="false">AG15/AG60</f>
        <v>1.4050222313445</v>
      </c>
      <c r="AH72" s="12" t="n">
        <f aca="false">AH15/AH60</f>
        <v>1.28231065200926</v>
      </c>
      <c r="AI72" s="12" t="n">
        <f aca="false">AI15/AI60</f>
        <v>1.30704616146713</v>
      </c>
      <c r="AJ72" s="12" t="n">
        <f aca="false">AJ15/AJ60</f>
        <v>1.28988567338174</v>
      </c>
      <c r="AK72" s="12"/>
      <c r="AL72" s="12" t="n">
        <f aca="false">AL15/AL60</f>
        <v>1.41571330553923</v>
      </c>
      <c r="AM72" s="12" t="n">
        <f aca="false">AM15/AM60</f>
        <v>2.56525188386311</v>
      </c>
      <c r="AN72" s="12" t="n">
        <f aca="false">AN15/AN60</f>
        <v>2.76728395506352</v>
      </c>
      <c r="AO72" s="12" t="n">
        <f aca="false">AO15/AO60</f>
        <v>1.58503439884817</v>
      </c>
      <c r="AP72" s="12" t="n">
        <f aca="false">AP15/AP60</f>
        <v>1.30332887129989</v>
      </c>
      <c r="AQ72" s="0"/>
      <c r="AR72" s="12" t="n">
        <f aca="false">AR15/AR60</f>
        <v>1.84851740405891</v>
      </c>
      <c r="AS72" s="0"/>
      <c r="AT72" s="0"/>
      <c r="AU72" s="0"/>
      <c r="AV72" s="0"/>
      <c r="AW72" s="0"/>
    </row>
    <row r="73" customFormat="false" ht="16.25" hidden="false" customHeight="false" outlineLevel="0" collapsed="false">
      <c r="A73" s="0" t="s">
        <v>49</v>
      </c>
      <c r="B73" s="0" t="s">
        <v>62</v>
      </c>
      <c r="C73" s="12" t="n">
        <f aca="false">C17/C61</f>
        <v>1.09202094486277</v>
      </c>
      <c r="D73" s="12" t="n">
        <f aca="false">D17/D61</f>
        <v>1.00107231599115</v>
      </c>
      <c r="E73" s="12" t="n">
        <f aca="false">E17/E61</f>
        <v>2.76693149848609</v>
      </c>
      <c r="F73" s="12" t="n">
        <f aca="false">F17/F61</f>
        <v>0.821426333119604</v>
      </c>
      <c r="G73" s="12" t="n">
        <f aca="false">G17/G61</f>
        <v>0.740558396012447</v>
      </c>
      <c r="H73" s="12" t="n">
        <f aca="false">H17/H61</f>
        <v>0.680866349771419</v>
      </c>
      <c r="I73" s="12" t="n">
        <f aca="false">I17/I61</f>
        <v>0.665820561594484</v>
      </c>
      <c r="J73" s="12" t="e">
        <f aca="false">J17/J61</f>
        <v>#DIV/0!</v>
      </c>
      <c r="K73" s="12" t="n">
        <f aca="false">K17/K61</f>
        <v>1.0137894271001</v>
      </c>
      <c r="L73" s="12" t="e">
        <f aca="false">L17/L61</f>
        <v>#DIV/0!</v>
      </c>
      <c r="M73" s="12" t="n">
        <f aca="false">M17/M61</f>
        <v>0.992398260005276</v>
      </c>
      <c r="N73" s="12" t="e">
        <f aca="false">N17/N61</f>
        <v>#DIV/0!</v>
      </c>
      <c r="O73" s="12" t="n">
        <f aca="false">O17/O61</f>
        <v>3.87436910359395</v>
      </c>
      <c r="P73" s="12" t="n">
        <f aca="false">P17/P61</f>
        <v>1.04939652574534</v>
      </c>
      <c r="Q73" s="12" t="n">
        <f aca="false">Q17/Q61</f>
        <v>2.55185931355891</v>
      </c>
      <c r="R73" s="12" t="n">
        <f aca="false">R17/R61</f>
        <v>1.17329997366342</v>
      </c>
      <c r="S73" s="12" t="n">
        <f aca="false">S17/S61</f>
        <v>0.706355892096545</v>
      </c>
      <c r="T73" s="12" t="e">
        <f aca="false">T17/T61</f>
        <v>#DIV/0!</v>
      </c>
      <c r="U73" s="12" t="n">
        <f aca="false">U17/U61</f>
        <v>0.512193088995261</v>
      </c>
      <c r="V73" s="12" t="e">
        <f aca="false">V17/V61</f>
        <v>#DIV/0!</v>
      </c>
      <c r="W73" s="12" t="n">
        <f aca="false">W17/W61</f>
        <v>0.63689650825665</v>
      </c>
      <c r="X73" s="12" t="n">
        <f aca="false">X17/X61</f>
        <v>0.374569446607014</v>
      </c>
      <c r="Y73" s="12" t="n">
        <f aca="false">Y17/Y61</f>
        <v>1.03106419480512</v>
      </c>
      <c r="Z73" s="12" t="n">
        <f aca="false">Z17/Z61</f>
        <v>0.308011014077293</v>
      </c>
      <c r="AA73" s="12" t="e">
        <f aca="false">AA17/AA61</f>
        <v>#DIV/0!</v>
      </c>
      <c r="AB73" s="12" t="e">
        <f aca="false">AB17/AB61</f>
        <v>#DIV/0!</v>
      </c>
      <c r="AC73" s="12" t="e">
        <f aca="false">AC17/AC61</f>
        <v>#DIV/0!</v>
      </c>
      <c r="AD73" s="12" t="n">
        <f aca="false">AD17/AD61</f>
        <v>1.02774986602358</v>
      </c>
      <c r="AE73" s="12" t="n">
        <f aca="false">AE17/AE61</f>
        <v>0.865026838615412</v>
      </c>
      <c r="AF73" s="12" t="n">
        <f aca="false">AF17/AF61</f>
        <v>1.24162028158473</v>
      </c>
      <c r="AG73" s="12" t="e">
        <f aca="false">AG17/AG61</f>
        <v>#DIV/0!</v>
      </c>
      <c r="AH73" s="12" t="n">
        <f aca="false">AH17/AH61</f>
        <v>0.524244875943905</v>
      </c>
      <c r="AI73" s="12" t="n">
        <f aca="false">AI17/AI61</f>
        <v>1.70792719277192</v>
      </c>
      <c r="AJ73" s="12" t="n">
        <f aca="false">AJ17/AJ61</f>
        <v>0.896109033929597</v>
      </c>
      <c r="AK73" s="12"/>
      <c r="AL73" s="12" t="n">
        <f aca="false">AL17/AL61</f>
        <v>0.963062451528436</v>
      </c>
      <c r="AM73" s="12" t="n">
        <f aca="false">AM17/AM61</f>
        <v>1.28035305445598</v>
      </c>
      <c r="AN73" s="12" t="n">
        <f aca="false">AN17/AN61</f>
        <v>0.760900755061596</v>
      </c>
      <c r="AO73" s="12" t="n">
        <f aca="false">AO17/AO61</f>
        <v>1.02774986602358</v>
      </c>
      <c r="AP73" s="12" t="n">
        <f aca="false">AP17/AP61</f>
        <v>0.991384941276287</v>
      </c>
      <c r="AR73" s="12" t="n">
        <f aca="false">AR17/AR61</f>
        <v>0.958417688323699</v>
      </c>
    </row>
    <row r="74" customFormat="false" ht="16.25" hidden="false" customHeight="false" outlineLevel="0" collapsed="false">
      <c r="A74" s="0" t="s">
        <v>50</v>
      </c>
      <c r="B74" s="0" t="s">
        <v>62</v>
      </c>
      <c r="C74" s="12" t="e">
        <f aca="false">C19/C62</f>
        <v>#DIV/0!</v>
      </c>
      <c r="D74" s="12" t="n">
        <f aca="false">D19/D62</f>
        <v>0</v>
      </c>
      <c r="E74" s="12" t="e">
        <f aca="false">E19/E62</f>
        <v>#DIV/0!</v>
      </c>
      <c r="F74" s="12" t="e">
        <f aca="false">F19/F62</f>
        <v>#DIV/0!</v>
      </c>
      <c r="G74" s="12" t="n">
        <f aca="false">G19/G62</f>
        <v>0</v>
      </c>
      <c r="H74" s="12" t="e">
        <f aca="false">H19/H62</f>
        <v>#DIV/0!</v>
      </c>
      <c r="I74" s="12" t="n">
        <f aca="false">I19/I62</f>
        <v>0.642408821034775</v>
      </c>
      <c r="J74" s="12" t="e">
        <f aca="false">J19/J62</f>
        <v>#DIV/0!</v>
      </c>
      <c r="K74" s="12" t="n">
        <f aca="false">K19/K62</f>
        <v>3.07655124331862</v>
      </c>
      <c r="L74" s="12" t="e">
        <f aca="false">L19/L62</f>
        <v>#DIV/0!</v>
      </c>
      <c r="M74" s="12" t="e">
        <f aca="false">M19/M62</f>
        <v>#DIV/0!</v>
      </c>
      <c r="N74" s="12" t="e">
        <f aca="false">N19/N62</f>
        <v>#DIV/0!</v>
      </c>
      <c r="O74" s="12" t="n">
        <f aca="false">O19/O62</f>
        <v>0</v>
      </c>
      <c r="P74" s="12" t="n">
        <f aca="false">P19/P62</f>
        <v>0</v>
      </c>
      <c r="Q74" s="12" t="e">
        <f aca="false">Q19/Q62</f>
        <v>#DIV/0!</v>
      </c>
      <c r="R74" s="12" t="e">
        <f aca="false">R19/R62</f>
        <v>#DIV/0!</v>
      </c>
      <c r="S74" s="12" t="n">
        <f aca="false">S19/S62</f>
        <v>0</v>
      </c>
      <c r="T74" s="12" t="e">
        <f aca="false">T19/T62</f>
        <v>#DIV/0!</v>
      </c>
      <c r="U74" s="12" t="e">
        <f aca="false">U19/U62</f>
        <v>#DIV/0!</v>
      </c>
      <c r="V74" s="12" t="e">
        <f aca="false">V19/V62</f>
        <v>#DIV/0!</v>
      </c>
      <c r="W74" s="12" t="n">
        <f aca="false">W19/W62</f>
        <v>0.868588095197004</v>
      </c>
      <c r="X74" s="12" t="e">
        <f aca="false">X19/X62</f>
        <v>#DIV/0!</v>
      </c>
      <c r="Y74" s="12" t="e">
        <f aca="false">Y19/Y62</f>
        <v>#DIV/0!</v>
      </c>
      <c r="Z74" s="12" t="n">
        <f aca="false">Z19/Z62</f>
        <v>3.27177465937277</v>
      </c>
      <c r="AA74" s="12" t="e">
        <f aca="false">AA19/AA62</f>
        <v>#DIV/0!</v>
      </c>
      <c r="AB74" s="12" t="e">
        <f aca="false">AB19/AB62</f>
        <v>#DIV/0!</v>
      </c>
      <c r="AC74" s="12" t="n">
        <f aca="false">AC19/AC62</f>
        <v>1.00000708986044</v>
      </c>
      <c r="AD74" s="12" t="e">
        <f aca="false">AD19/AD62</f>
        <v>#DIV/0!</v>
      </c>
      <c r="AE74" s="12" t="n">
        <f aca="false">AE19/AE62</f>
        <v>0</v>
      </c>
      <c r="AF74" s="12" t="n">
        <f aca="false">AF19/AF62</f>
        <v>0</v>
      </c>
      <c r="AG74" s="12" t="n">
        <f aca="false">AG19/AG62</f>
        <v>0</v>
      </c>
      <c r="AH74" s="12" t="e">
        <f aca="false">AH19/AH62</f>
        <v>#DIV/0!</v>
      </c>
      <c r="AI74" s="12" t="e">
        <f aca="false">AI19/AI62</f>
        <v>#DIV/0!</v>
      </c>
      <c r="AJ74" s="12" t="e">
        <f aca="false">AJ19/AJ62</f>
        <v>#DIV/0!</v>
      </c>
      <c r="AK74" s="12"/>
      <c r="AL74" s="12" t="n">
        <f aca="false">AL19/AL62</f>
        <v>0.402783238288017</v>
      </c>
      <c r="AM74" s="12" t="n">
        <f aca="false">AM19/AM62</f>
        <v>0.282833752184993</v>
      </c>
      <c r="AN74" s="12" t="n">
        <f aca="false">AN19/AN62</f>
        <v>3.32080023805709</v>
      </c>
      <c r="AO74" s="12" t="n">
        <f aca="false">AO19/AO62</f>
        <v>1.00000708986044</v>
      </c>
      <c r="AP74" s="12" t="n">
        <f aca="false">AP19/AP62</f>
        <v>0</v>
      </c>
      <c r="AR74" s="12" t="n">
        <f aca="false">AR19/AR62</f>
        <v>0.888757557556084</v>
      </c>
    </row>
    <row r="75" customFormat="false" ht="16.25" hidden="false" customHeight="false" outlineLevel="0" collapsed="false">
      <c r="A75" s="0" t="s">
        <v>51</v>
      </c>
      <c r="B75" s="0" t="s">
        <v>62</v>
      </c>
      <c r="C75" s="12" t="e">
        <f aca="false">C21/C63</f>
        <v>#DIV/0!</v>
      </c>
      <c r="D75" s="12" t="e">
        <f aca="false">D21/D63</f>
        <v>#DIV/0!</v>
      </c>
      <c r="E75" s="12" t="e">
        <f aca="false">E21/E63</f>
        <v>#DIV/0!</v>
      </c>
      <c r="F75" s="12" t="e">
        <f aca="false">F21/F63</f>
        <v>#DIV/0!</v>
      </c>
      <c r="G75" s="12" t="e">
        <f aca="false">G21/G63</f>
        <v>#DIV/0!</v>
      </c>
      <c r="H75" s="12" t="e">
        <f aca="false">H21/H63</f>
        <v>#DIV/0!</v>
      </c>
      <c r="I75" s="12" t="e">
        <f aca="false">I21/I63</f>
        <v>#DIV/0!</v>
      </c>
      <c r="J75" s="12" t="e">
        <f aca="false">J21/J63</f>
        <v>#DIV/0!</v>
      </c>
      <c r="K75" s="12" t="e">
        <f aca="false">K21/K63</f>
        <v>#DIV/0!</v>
      </c>
      <c r="L75" s="12" t="e">
        <f aca="false">L21/L63</f>
        <v>#DIV/0!</v>
      </c>
      <c r="M75" s="12" t="e">
        <f aca="false">M21/M63</f>
        <v>#DIV/0!</v>
      </c>
      <c r="N75" s="12" t="e">
        <f aca="false">N21/N63</f>
        <v>#DIV/0!</v>
      </c>
      <c r="O75" s="12" t="n">
        <f aca="false">O21/O63</f>
        <v>0.284951675497105</v>
      </c>
      <c r="P75" s="12" t="n">
        <f aca="false">P21/P63</f>
        <v>0</v>
      </c>
      <c r="Q75" s="12" t="n">
        <f aca="false">Q21/Q63</f>
        <v>0</v>
      </c>
      <c r="R75" s="12" t="n">
        <f aca="false">R21/R63</f>
        <v>0</v>
      </c>
      <c r="S75" s="12" t="e">
        <f aca="false">S21/S63</f>
        <v>#DIV/0!</v>
      </c>
      <c r="T75" s="12" t="e">
        <f aca="false">T21/T63</f>
        <v>#DIV/0!</v>
      </c>
      <c r="U75" s="12" t="e">
        <f aca="false">U21/U63</f>
        <v>#DIV/0!</v>
      </c>
      <c r="V75" s="12" t="e">
        <f aca="false">V21/V63</f>
        <v>#DIV/0!</v>
      </c>
      <c r="W75" s="12" t="e">
        <f aca="false">W21/W63</f>
        <v>#DIV/0!</v>
      </c>
      <c r="X75" s="12" t="e">
        <f aca="false">X21/X63</f>
        <v>#DIV/0!</v>
      </c>
      <c r="Y75" s="12" t="n">
        <f aca="false">Y21/Y63</f>
        <v>0</v>
      </c>
      <c r="Z75" s="12" t="e">
        <f aca="false">Z21/Z63</f>
        <v>#DIV/0!</v>
      </c>
      <c r="AA75" s="12" t="e">
        <f aca="false">AA21/AA63</f>
        <v>#DIV/0!</v>
      </c>
      <c r="AB75" s="12" t="e">
        <f aca="false">AB21/AB63</f>
        <v>#DIV/0!</v>
      </c>
      <c r="AC75" s="12" t="n">
        <f aca="false">AC21/AC63</f>
        <v>0</v>
      </c>
      <c r="AD75" s="12" t="e">
        <f aca="false">AD21/AD63</f>
        <v>#DIV/0!</v>
      </c>
      <c r="AE75" s="12" t="n">
        <f aca="false">AE21/AE63</f>
        <v>0</v>
      </c>
      <c r="AF75" s="12" t="n">
        <f aca="false">AF21/AF63</f>
        <v>0</v>
      </c>
      <c r="AG75" s="12" t="n">
        <f aca="false">AG21/AG63</f>
        <v>0</v>
      </c>
      <c r="AH75" s="12" t="n">
        <f aca="false">AH21/AH63</f>
        <v>0</v>
      </c>
      <c r="AI75" s="12" t="n">
        <f aca="false">AI21/AI63</f>
        <v>0</v>
      </c>
      <c r="AJ75" s="12" t="n">
        <f aca="false">AJ21/AJ63</f>
        <v>0</v>
      </c>
      <c r="AK75" s="12"/>
      <c r="AL75" s="12" t="e">
        <f aca="false">AL21/AL63</f>
        <v>#DIV/0!</v>
      </c>
      <c r="AM75" s="12" t="n">
        <f aca="false">AM21/AM63</f>
        <v>0.0668378188155646</v>
      </c>
      <c r="AN75" s="12" t="n">
        <f aca="false">AN21/AN63</f>
        <v>0.759801950587336</v>
      </c>
      <c r="AO75" s="12" t="n">
        <f aca="false">AO21/AO63</f>
        <v>0</v>
      </c>
      <c r="AP75" s="12" t="n">
        <f aca="false">AP21/AP63</f>
        <v>0</v>
      </c>
      <c r="AR75" s="12" t="n">
        <f aca="false">AR21/AR63</f>
        <v>0.186198451861145</v>
      </c>
    </row>
    <row r="76" customFormat="false" ht="16.25" hidden="false" customHeight="false" outlineLevel="0" collapsed="false">
      <c r="A76" s="0" t="s">
        <v>52</v>
      </c>
      <c r="B76" s="0" t="s">
        <v>62</v>
      </c>
      <c r="C76" s="12" t="n">
        <f aca="false">C23/C64</f>
        <v>1.20698321789952</v>
      </c>
      <c r="D76" s="12" t="n">
        <f aca="false">D23/D64</f>
        <v>0.880775588381917</v>
      </c>
      <c r="E76" s="12" t="n">
        <f aca="false">E23/E64</f>
        <v>1.64342646243283</v>
      </c>
      <c r="F76" s="12" t="n">
        <f aca="false">F23/F64</f>
        <v>1.00520048096604</v>
      </c>
      <c r="G76" s="12" t="n">
        <f aca="false">G23/G64</f>
        <v>0.889283001464923</v>
      </c>
      <c r="H76" s="12" t="n">
        <f aca="false">H23/H64</f>
        <v>0.987078588894674</v>
      </c>
      <c r="I76" s="12" t="n">
        <f aca="false">I23/I64</f>
        <v>0.866746658541649</v>
      </c>
      <c r="J76" s="12" t="e">
        <f aca="false">J23/J64</f>
        <v>#DIV/0!</v>
      </c>
      <c r="K76" s="12" t="n">
        <f aca="false">K23/K64</f>
        <v>1.21183875876009</v>
      </c>
      <c r="L76" s="12" t="e">
        <f aca="false">L23/L64</f>
        <v>#DIV/0!</v>
      </c>
      <c r="M76" s="12" t="n">
        <f aca="false">M23/M64</f>
        <v>1.31142649619304</v>
      </c>
      <c r="N76" s="12" t="e">
        <f aca="false">N23/N64</f>
        <v>#DIV/0!</v>
      </c>
      <c r="O76" s="12" t="n">
        <f aca="false">O23/O64</f>
        <v>1.58512137703054</v>
      </c>
      <c r="P76" s="12" t="n">
        <f aca="false">P23/P64</f>
        <v>1.26794543849029</v>
      </c>
      <c r="Q76" s="12" t="n">
        <f aca="false">Q23/Q64</f>
        <v>1.62006521224234</v>
      </c>
      <c r="R76" s="12" t="n">
        <f aca="false">R23/R64</f>
        <v>1.70793895033539</v>
      </c>
      <c r="S76" s="12" t="n">
        <f aca="false">S23/S64</f>
        <v>1.4697847179573</v>
      </c>
      <c r="T76" s="12" t="e">
        <f aca="false">T23/T64</f>
        <v>#DIV/0!</v>
      </c>
      <c r="U76" s="12" t="n">
        <f aca="false">U23/U64</f>
        <v>1.13199902687327</v>
      </c>
      <c r="V76" s="12" t="e">
        <f aca="false">V23/V64</f>
        <v>#DIV/0!</v>
      </c>
      <c r="W76" s="12" t="n">
        <f aca="false">W23/W64</f>
        <v>1.03361961254295</v>
      </c>
      <c r="X76" s="12" t="n">
        <f aca="false">X23/X64</f>
        <v>1.45598593000275</v>
      </c>
      <c r="Y76" s="12" t="n">
        <f aca="false">Y23/Y64</f>
        <v>1.03619287919573</v>
      </c>
      <c r="Z76" s="12" t="n">
        <f aca="false">Z23/Z64</f>
        <v>1.19710990041885</v>
      </c>
      <c r="AA76" s="12" t="e">
        <f aca="false">AA23/AA64</f>
        <v>#DIV/0!</v>
      </c>
      <c r="AB76" s="12" t="e">
        <f aca="false">AB23/AB64</f>
        <v>#DIV/0!</v>
      </c>
      <c r="AC76" s="12" t="n">
        <f aca="false">AC23/AC64</f>
        <v>1.11550550093065</v>
      </c>
      <c r="AD76" s="12" t="n">
        <f aca="false">AD23/AD64</f>
        <v>1.16025382070055</v>
      </c>
      <c r="AE76" s="12" t="n">
        <f aca="false">AE23/AE64</f>
        <v>1.87581140436118</v>
      </c>
      <c r="AF76" s="12" t="n">
        <f aca="false">AF23/AF64</f>
        <v>2.81811959688742</v>
      </c>
      <c r="AG76" s="12" t="n">
        <f aca="false">AG23/AG64</f>
        <v>1.6653949446167</v>
      </c>
      <c r="AH76" s="12" t="n">
        <f aca="false">AH23/AH64</f>
        <v>1.07209897641711</v>
      </c>
      <c r="AI76" s="12" t="n">
        <f aca="false">AI23/AI64</f>
        <v>1.23808820500322</v>
      </c>
      <c r="AJ76" s="12" t="n">
        <f aca="false">AJ23/AJ64</f>
        <v>1.30323450368594</v>
      </c>
      <c r="AK76" s="12"/>
      <c r="AL76" s="12" t="n">
        <f aca="false">AL23/AL64</f>
        <v>1.08148260382926</v>
      </c>
      <c r="AM76" s="12" t="n">
        <f aca="false">AM23/AM64</f>
        <v>1.46105870826051</v>
      </c>
      <c r="AN76" s="12" t="n">
        <f aca="false">AN23/AN64</f>
        <v>1.9087557857559</v>
      </c>
      <c r="AO76" s="12" t="n">
        <f aca="false">AO23/AO64</f>
        <v>1.13161506861403</v>
      </c>
      <c r="AP76" s="12" t="n">
        <f aca="false">AP23/AP64</f>
        <v>1.46694782620186</v>
      </c>
      <c r="AR76" s="12" t="n">
        <f aca="false">AR23/AR64</f>
        <v>1.39942620099852</v>
      </c>
    </row>
    <row r="77" customFormat="false" ht="16.25" hidden="false" customHeight="false" outlineLevel="0" collapsed="false">
      <c r="A77" s="0" t="s">
        <v>40</v>
      </c>
      <c r="B77" s="0" t="s">
        <v>62</v>
      </c>
      <c r="C77" s="12" t="n">
        <f aca="false">C31/C56</f>
        <v>1.23274574104408</v>
      </c>
      <c r="D77" s="12" t="n">
        <f aca="false">D31/D56</f>
        <v>1.23866821736852</v>
      </c>
      <c r="E77" s="12" t="n">
        <f aca="false">E31/E56</f>
        <v>2.25825739563456</v>
      </c>
      <c r="F77" s="12" t="n">
        <f aca="false">F31/F56</f>
        <v>1.27191775766348</v>
      </c>
      <c r="G77" s="12" t="n">
        <f aca="false">G31/G56</f>
        <v>0.923175206763359</v>
      </c>
      <c r="H77" s="12" t="n">
        <f aca="false">H31/H56</f>
        <v>1.17121748359489</v>
      </c>
      <c r="I77" s="12" t="n">
        <f aca="false">I31/I56</f>
        <v>0.904400992742081</v>
      </c>
      <c r="J77" s="12" t="e">
        <f aca="false">J31/J56</f>
        <v>#DIV/0!</v>
      </c>
      <c r="K77" s="12" t="n">
        <f aca="false">K31/K56</f>
        <v>1.23820852766787</v>
      </c>
      <c r="L77" s="12" t="e">
        <f aca="false">L31/L56</f>
        <v>#DIV/0!</v>
      </c>
      <c r="M77" s="12" t="n">
        <f aca="false">M31/M56</f>
        <v>1.37411543448427</v>
      </c>
      <c r="N77" s="12" t="e">
        <f aca="false">N31/N56</f>
        <v>#DIV/0!</v>
      </c>
      <c r="O77" s="12" t="n">
        <f aca="false">O31/O56</f>
        <v>2.70712789306749</v>
      </c>
      <c r="P77" s="12" t="n">
        <f aca="false">P31/P56</f>
        <v>1.18814187904146</v>
      </c>
      <c r="Q77" s="12" t="n">
        <f aca="false">Q31/Q56</f>
        <v>2.06232757903558</v>
      </c>
      <c r="R77" s="12" t="n">
        <f aca="false">R31/R56</f>
        <v>2.08619251347648</v>
      </c>
      <c r="S77" s="12" t="n">
        <f aca="false">S31/S56</f>
        <v>1.38383177878198</v>
      </c>
      <c r="T77" s="12" t="e">
        <f aca="false">T31/T56</f>
        <v>#DIV/0!</v>
      </c>
      <c r="U77" s="12" t="n">
        <f aca="false">U31/U56</f>
        <v>1.16532905807543</v>
      </c>
      <c r="V77" s="12" t="e">
        <f aca="false">V31/V56</f>
        <v>#DIV/0!</v>
      </c>
      <c r="W77" s="12" t="n">
        <f aca="false">W31/W56</f>
        <v>1.39779466957698</v>
      </c>
      <c r="X77" s="12" t="n">
        <f aca="false">X31/X56</f>
        <v>1.23057596735463</v>
      </c>
      <c r="Y77" s="12" t="n">
        <f aca="false">Y31/Y56</f>
        <v>1.08428538942908</v>
      </c>
      <c r="Z77" s="12" t="n">
        <f aca="false">Z31/Z56</f>
        <v>1.2874308132424</v>
      </c>
      <c r="AA77" s="12" t="e">
        <f aca="false">AA31/AA56</f>
        <v>#DIV/0!</v>
      </c>
      <c r="AB77" s="12" t="e">
        <f aca="false">AB31/AB56</f>
        <v>#DIV/0!</v>
      </c>
      <c r="AC77" s="12" t="n">
        <f aca="false">AC31/AC56</f>
        <v>1.22181899295636</v>
      </c>
      <c r="AD77" s="12" t="n">
        <f aca="false">AD31/AD56</f>
        <v>1.27205165750963</v>
      </c>
      <c r="AE77" s="12" t="n">
        <f aca="false">AE31/AE56</f>
        <v>1.25855913032564</v>
      </c>
      <c r="AF77" s="12" t="n">
        <f aca="false">AF31/AF56</f>
        <v>1.24626828954509</v>
      </c>
      <c r="AG77" s="12" t="n">
        <f aca="false">AG31/AG56</f>
        <v>1.19630309592321</v>
      </c>
      <c r="AH77" s="12" t="n">
        <f aca="false">AH31/AH56</f>
        <v>1.12325625640575</v>
      </c>
      <c r="AI77" s="12" t="n">
        <f aca="false">AI31/AI56</f>
        <v>1.44259693405076</v>
      </c>
      <c r="AJ77" s="12" t="n">
        <f aca="false">AJ31/AJ56</f>
        <v>1.31466697449606</v>
      </c>
      <c r="AK77" s="12"/>
      <c r="AL77" s="12" t="n">
        <f aca="false">AL31/AL56</f>
        <v>1.26268727111178</v>
      </c>
      <c r="AM77" s="12" t="n">
        <f aca="false">AM31/AM56</f>
        <v>1.65072950109166</v>
      </c>
      <c r="AN77" s="12" t="n">
        <f aca="false">AN31/AN56</f>
        <v>1.83303626561075</v>
      </c>
      <c r="AO77" s="12" t="n">
        <f aca="false">AO31/AO56</f>
        <v>1.24674518248589</v>
      </c>
      <c r="AP77" s="12" t="n">
        <f aca="false">AP31/AP56</f>
        <v>1.26772960673237</v>
      </c>
      <c r="AR77" s="12" t="n">
        <f aca="false">AR31/AR56</f>
        <v>1.45814149919171</v>
      </c>
    </row>
    <row r="78" customFormat="false" ht="12.75" hidden="false" customHeight="false" outlineLevel="0" collapsed="false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R78" s="12"/>
    </row>
    <row r="79" customFormat="false" ht="16.25" hidden="false" customHeight="false" outlineLevel="0" collapsed="false">
      <c r="A79" s="0" t="s">
        <v>53</v>
      </c>
      <c r="B79" s="0" t="s">
        <v>62</v>
      </c>
      <c r="C79" s="12" t="n">
        <f aca="false">C24/C66</f>
        <v>0.988299619317758</v>
      </c>
      <c r="D79" s="12" t="n">
        <f aca="false">D24/D66</f>
        <v>0.909059426513368</v>
      </c>
      <c r="E79" s="12" t="n">
        <f aca="false">E24/E66</f>
        <v>3.24692572552878</v>
      </c>
      <c r="F79" s="12" t="n">
        <f aca="false">F24/F66</f>
        <v>1.09995842489755</v>
      </c>
      <c r="G79" s="12" t="n">
        <f aca="false">G24/G66</f>
        <v>0.803581678337734</v>
      </c>
      <c r="H79" s="12" t="n">
        <f aca="false">H24/H66</f>
        <v>1.02816158633056</v>
      </c>
      <c r="I79" s="12" t="n">
        <f aca="false">I24/I66</f>
        <v>0.895686577245971</v>
      </c>
      <c r="J79" s="12" t="e">
        <f aca="false">J24/J66</f>
        <v>#DIV/0!</v>
      </c>
      <c r="K79" s="12" t="n">
        <f aca="false">K24/K66</f>
        <v>0.894710655235762</v>
      </c>
      <c r="L79" s="12" t="e">
        <f aca="false">L24/L66</f>
        <v>#DIV/0!</v>
      </c>
      <c r="M79" s="12" t="n">
        <f aca="false">M24/M66</f>
        <v>0.542431046900818</v>
      </c>
      <c r="N79" s="12" t="e">
        <f aca="false">N24/N66</f>
        <v>#DIV/0!</v>
      </c>
      <c r="O79" s="12" t="n">
        <f aca="false">O24/O66</f>
        <v>3.11475409836066</v>
      </c>
      <c r="P79" s="12" t="n">
        <f aca="false">P24/P66</f>
        <v>0.657395547422995</v>
      </c>
      <c r="Q79" s="12" t="n">
        <f aca="false">Q24/Q66</f>
        <v>1.31749299479613</v>
      </c>
      <c r="R79" s="12" t="n">
        <f aca="false">R24/R66</f>
        <v>0.932605273514364</v>
      </c>
      <c r="S79" s="12" t="n">
        <f aca="false">S24/S66</f>
        <v>0.745055590210252</v>
      </c>
      <c r="T79" s="12" t="e">
        <f aca="false">T24/T66</f>
        <v>#DIV/0!</v>
      </c>
      <c r="U79" s="12" t="n">
        <f aca="false">U24/U66</f>
        <v>1.16640440597954</v>
      </c>
      <c r="V79" s="12" t="e">
        <f aca="false">V24/V66</f>
        <v>#DIV/0!</v>
      </c>
      <c r="W79" s="12" t="n">
        <f aca="false">W24/W66</f>
        <v>1.15376565720628</v>
      </c>
      <c r="X79" s="12" t="n">
        <f aca="false">X24/X66</f>
        <v>1.10521220655211</v>
      </c>
      <c r="Y79" s="12" t="n">
        <f aca="false">Y24/Y66</f>
        <v>0.840672074159907</v>
      </c>
      <c r="Z79" s="12" t="n">
        <f aca="false">Z24/Z66</f>
        <v>1.20594262295082</v>
      </c>
      <c r="AA79" s="12" t="n">
        <f aca="false">AA24/AA66</f>
        <v>0.786642875350497</v>
      </c>
      <c r="AB79" s="12" t="n">
        <f aca="false">AB24/AB66</f>
        <v>0.894938834252818</v>
      </c>
      <c r="AC79" s="12" t="n">
        <f aca="false">AC24/AC66</f>
        <v>0.795383081524657</v>
      </c>
      <c r="AD79" s="12" t="n">
        <f aca="false">AD24/AD66</f>
        <v>0.768513284341436</v>
      </c>
      <c r="AE79" s="12" t="n">
        <f aca="false">AE24/AE66</f>
        <v>0.785302758594376</v>
      </c>
      <c r="AF79" s="12" t="n">
        <f aca="false">AF24/AF66</f>
        <v>1.10784363953071</v>
      </c>
      <c r="AG79" s="12" t="n">
        <f aca="false">AG24/AG66</f>
        <v>1.03516104120293</v>
      </c>
      <c r="AH79" s="12" t="n">
        <f aca="false">AH24/AH66</f>
        <v>0.961182274536957</v>
      </c>
      <c r="AI79" s="12" t="n">
        <f aca="false">AI24/AI66</f>
        <v>1.12116046659313</v>
      </c>
      <c r="AJ79" s="12" t="n">
        <f aca="false">AJ24/AJ66</f>
        <v>0.998767426045563</v>
      </c>
      <c r="AK79" s="12"/>
      <c r="AL79" s="12" t="n">
        <f aca="false">AL24/AL66</f>
        <v>1.05409387497369</v>
      </c>
      <c r="AM79" s="12" t="n">
        <f aca="false">AM24/AM66</f>
        <v>1.02581920363102</v>
      </c>
      <c r="AN79" s="12" t="n">
        <f aca="false">AN24/AN66</f>
        <v>1.10728580509971</v>
      </c>
      <c r="AO79" s="12" t="n">
        <f aca="false">AO24/AO66</f>
        <v>0.791267075097959</v>
      </c>
      <c r="AP79" s="12" t="n">
        <f aca="false">AP24/AP66</f>
        <v>0.99966042024727</v>
      </c>
      <c r="AR79" s="12" t="n">
        <f aca="false">AR24/AR66</f>
        <v>1.03109342276663</v>
      </c>
    </row>
    <row r="80" customFormat="false" ht="12.75" hidden="false" customHeight="false" outlineLevel="0" collapsed="false"/>
    <row r="81" customFormat="false" ht="12.75" hidden="false" customHeight="false" outlineLevel="0" collapsed="false"/>
    <row r="82" customFormat="false" ht="12.75" hidden="false" customHeight="false" outlineLevel="0" collapsed="false"/>
    <row r="96" customFormat="false" ht="12.8" hidden="false" customHeight="false" outlineLevel="0" collapsed="false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L96" s="10"/>
      <c r="AM96" s="10"/>
      <c r="AN96" s="10"/>
      <c r="AO96" s="10"/>
      <c r="AP96" s="10"/>
      <c r="AR96" s="10"/>
    </row>
    <row r="97" customFormat="false" ht="12.8" hidden="false" customHeight="false" outlineLevel="0" collapsed="false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L97" s="10"/>
      <c r="AM97" s="10"/>
      <c r="AN97" s="10"/>
      <c r="AO97" s="10"/>
      <c r="AP97" s="10"/>
      <c r="AR97" s="10"/>
    </row>
    <row r="98" customFormat="false" ht="12.8" hidden="false" customHeight="false" outlineLevel="0" collapsed="false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L98" s="10"/>
      <c r="AM98" s="10"/>
      <c r="AN98" s="10"/>
      <c r="AO98" s="10"/>
      <c r="AP98" s="10"/>
      <c r="AR98" s="10"/>
    </row>
    <row r="99" customFormat="false" ht="12.8" hidden="false" customHeight="false" outlineLevel="0" collapsed="false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L99" s="10"/>
      <c r="AM99" s="10"/>
      <c r="AN99" s="10"/>
      <c r="AO99" s="10"/>
      <c r="AP99" s="10"/>
      <c r="AR99" s="10"/>
    </row>
    <row r="100" customFormat="false" ht="12.8" hidden="false" customHeight="false" outlineLevel="0" collapsed="false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L100" s="10"/>
      <c r="AM100" s="10"/>
      <c r="AN100" s="10"/>
      <c r="AO100" s="10"/>
      <c r="AP100" s="10"/>
      <c r="AR100" s="10"/>
    </row>
    <row r="101" customFormat="false" ht="12.8" hidden="false" customHeight="false" outlineLevel="0" collapsed="false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L101" s="10"/>
      <c r="AM101" s="10"/>
      <c r="AN101" s="10"/>
      <c r="AO101" s="10"/>
      <c r="AP101" s="10"/>
      <c r="AR101" s="10"/>
    </row>
    <row r="102" customFormat="false" ht="12.8" hidden="false" customHeight="false" outlineLevel="0" collapsed="false"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L102" s="10"/>
      <c r="AM102" s="10"/>
      <c r="AN102" s="10"/>
      <c r="AO102" s="10"/>
      <c r="AP102" s="10"/>
      <c r="AR102" s="10"/>
    </row>
    <row r="104" customFormat="false" ht="13.2" hidden="false" customHeight="false" outlineLevel="0" collapsed="false">
      <c r="B104" s="18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20"/>
      <c r="AL104" s="19"/>
      <c r="AM104" s="19"/>
      <c r="AN104" s="19"/>
      <c r="AO104" s="19"/>
      <c r="AP104" s="19"/>
      <c r="AQ104" s="20"/>
      <c r="AR104" s="19"/>
    </row>
    <row r="105" customFormat="false" ht="12.8" hidden="false" customHeight="false" outlineLevel="0" collapsed="false">
      <c r="A105" s="21"/>
      <c r="B105" s="22"/>
    </row>
    <row r="106" customFormat="false" ht="12.8" hidden="false" customHeight="false" outlineLevel="0" collapsed="false">
      <c r="A106" s="21"/>
      <c r="B106" s="23"/>
    </row>
    <row r="107" customFormat="false" ht="12.8" hidden="false" customHeight="false" outlineLevel="0" collapsed="false">
      <c r="A107" s="21"/>
      <c r="B107" s="24"/>
    </row>
    <row r="108" customFormat="false" ht="12.8" hidden="false" customHeight="false" outlineLevel="0" collapsed="false">
      <c r="A108" s="21"/>
      <c r="B108" s="25"/>
    </row>
    <row r="109" customFormat="false" ht="12.8" hidden="false" customHeight="false" outlineLevel="0" collapsed="false">
      <c r="A109" s="21"/>
      <c r="B109" s="26"/>
    </row>
    <row r="110" customFormat="false" ht="12.8" hidden="false" customHeight="false" outlineLevel="0" collapsed="false">
      <c r="A110" s="21"/>
      <c r="B110" s="27"/>
    </row>
    <row r="111" customFormat="false" ht="12.8" hidden="false" customHeight="false" outlineLevel="0" collapsed="false">
      <c r="A111" s="21"/>
      <c r="B111" s="28"/>
    </row>
    <row r="112" customFormat="false" ht="12.8" hidden="false" customHeight="false" outlineLevel="0" collapsed="false">
      <c r="A112" s="5"/>
      <c r="B112" s="5"/>
    </row>
    <row r="113" customFormat="false" ht="12.8" hidden="false" customHeight="false" outlineLevel="0" collapsed="false">
      <c r="A113" s="21"/>
    </row>
    <row r="114" customFormat="false" ht="12.8" hidden="false" customHeight="false" outlineLevel="0" collapsed="false">
      <c r="A114" s="5"/>
      <c r="B114" s="5"/>
      <c r="C114" s="9"/>
      <c r="D114" s="9"/>
    </row>
    <row r="115" customFormat="false" ht="12.8" hidden="false" customHeight="false" outlineLevel="0" collapsed="false"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L115" s="29"/>
      <c r="AM115" s="29"/>
      <c r="AN115" s="29"/>
      <c r="AO115" s="29"/>
      <c r="AP115" s="29"/>
      <c r="AR115" s="29"/>
    </row>
    <row r="116" customFormat="false" ht="12.8" hidden="false" customHeight="false" outlineLevel="0" collapsed="false">
      <c r="A116" s="30"/>
      <c r="B116" s="31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3"/>
      <c r="AT116" s="15"/>
      <c r="AU116" s="15"/>
    </row>
    <row r="117" customFormat="false" ht="12.8" hidden="false" customHeight="false" outlineLevel="0" collapsed="false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7"/>
      <c r="AT117" s="16"/>
      <c r="AU117" s="16"/>
    </row>
    <row r="118" customFormat="false" ht="12.8" hidden="false" customHeight="false" outlineLevel="0" collapsed="false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33"/>
      <c r="AT118" s="15"/>
      <c r="AU118" s="15"/>
    </row>
    <row r="119" customFormat="false" ht="12.8" hidden="false" customHeight="false" outlineLevel="0" collapsed="false">
      <c r="A119" s="34"/>
      <c r="B119" s="41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42"/>
      <c r="AT119" s="43"/>
      <c r="AU119" s="43"/>
    </row>
    <row r="120" customFormat="false" ht="12.8" hidden="false" customHeight="false" outlineLevel="0" collapsed="false">
      <c r="A120" s="38"/>
      <c r="B120" s="44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33"/>
      <c r="AT120" s="15"/>
      <c r="AU120" s="15"/>
    </row>
    <row r="121" customFormat="false" ht="12.8" hidden="false" customHeight="false" outlineLevel="0" collapsed="false">
      <c r="A121" s="34"/>
      <c r="B121" s="45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7"/>
      <c r="AT121" s="16"/>
      <c r="AU121" s="16"/>
    </row>
    <row r="122" customFormat="false" ht="12.8" hidden="false" customHeight="false" outlineLevel="0" collapsed="false">
      <c r="A122" s="38"/>
      <c r="B122" s="46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33"/>
      <c r="AT122" s="15"/>
      <c r="AU122" s="15"/>
    </row>
    <row r="123" customFormat="false" ht="12.8" hidden="false" customHeight="false" outlineLevel="0" collapsed="false">
      <c r="A123" s="34"/>
      <c r="B123" s="47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7"/>
      <c r="AT123" s="16"/>
      <c r="AU123" s="16"/>
    </row>
    <row r="124" customFormat="false" ht="12.8" hidden="false" customHeight="false" outlineLevel="0" collapsed="false">
      <c r="A124" s="38"/>
      <c r="B124" s="48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33"/>
      <c r="AT124" s="15"/>
      <c r="AU124" s="15"/>
    </row>
    <row r="125" customFormat="false" ht="12.8" hidden="false" customHeight="false" outlineLevel="0" collapsed="false">
      <c r="A125" s="34"/>
      <c r="B125" s="49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7"/>
      <c r="AT125" s="16"/>
      <c r="AU125" s="16"/>
    </row>
    <row r="126" customFormat="false" ht="12.8" hidden="false" customHeight="false" outlineLevel="0" collapsed="false">
      <c r="A126" s="38"/>
      <c r="B126" s="5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33"/>
      <c r="AT126" s="15"/>
      <c r="AU126" s="15"/>
    </row>
    <row r="127" customFormat="false" ht="12.8" hidden="false" customHeight="false" outlineLevel="0" collapsed="false">
      <c r="A127" s="34"/>
      <c r="B127" s="51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7"/>
      <c r="AT127" s="16"/>
      <c r="AU127" s="16"/>
    </row>
    <row r="128" customFormat="false" ht="12.8" hidden="false" customHeight="false" outlineLevel="0" collapsed="false">
      <c r="A128" s="38"/>
      <c r="B128" s="52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33"/>
      <c r="AT128" s="15"/>
      <c r="AU128" s="15"/>
    </row>
    <row r="129" customFormat="false" ht="12.8" hidden="false" customHeight="false" outlineLevel="0" collapsed="false">
      <c r="A129" s="34"/>
      <c r="B129" s="53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17"/>
      <c r="AT129" s="17"/>
      <c r="AU129" s="17"/>
    </row>
    <row r="131" customFormat="false" ht="12.8" hidden="false" customHeight="false" outlineLevel="0" collapsed="false">
      <c r="A131" s="38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L131" s="10"/>
      <c r="AM131" s="10"/>
      <c r="AN131" s="10"/>
      <c r="AO131" s="10"/>
      <c r="AP131" s="10"/>
      <c r="AQ131" s="54"/>
      <c r="AR131" s="55"/>
    </row>
    <row r="132" customFormat="false" ht="12.8" hidden="false" customHeight="false" outlineLevel="0" collapsed="false">
      <c r="C132" s="56"/>
    </row>
    <row r="133" customFormat="false" ht="12.8" hidden="false" customHeight="false" outlineLevel="0" collapsed="false">
      <c r="C133" s="56"/>
    </row>
    <row r="134" customFormat="false" ht="12.8" hidden="false" customHeight="false" outlineLevel="0" collapsed="false">
      <c r="C134" s="56"/>
    </row>
    <row r="135" customFormat="false" ht="12.8" hidden="false" customHeight="false" outlineLevel="0" collapsed="false">
      <c r="AL135" s="10"/>
      <c r="AM135" s="10"/>
      <c r="AN135" s="10"/>
      <c r="AO135" s="10"/>
      <c r="AP135" s="10"/>
    </row>
    <row r="136" customFormat="false" ht="12.8" hidden="false" customHeight="false" outlineLevel="0" collapsed="false"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L136" s="10"/>
      <c r="AM136" s="10"/>
      <c r="AN136" s="10"/>
      <c r="AO136" s="10"/>
      <c r="AP136" s="10"/>
      <c r="AR136" s="56"/>
    </row>
    <row r="137" customFormat="false" ht="12.8" hidden="false" customHeight="false" outlineLevel="0" collapsed="false"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customFormat="false" ht="12.8" hidden="false" customHeight="false" outlineLevel="0" collapsed="false"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customFormat="false" ht="12.8" hidden="false" customHeight="false" outlineLevel="0" collapsed="false">
      <c r="C139" s="56"/>
    </row>
    <row r="140" customFormat="false" ht="12.8" hidden="false" customHeight="false" outlineLevel="0" collapsed="false">
      <c r="C140" s="56"/>
    </row>
    <row r="141" customFormat="false" ht="12.8" hidden="false" customHeight="false" outlineLevel="0" collapsed="false">
      <c r="C141" s="57"/>
    </row>
    <row r="145" customFormat="false" ht="12.8" hidden="false" customHeight="false" outlineLevel="0" collapsed="false">
      <c r="AF145" s="56"/>
      <c r="AL145" s="10"/>
      <c r="AM145" s="10"/>
      <c r="AN145" s="10"/>
      <c r="AO145" s="10"/>
      <c r="AP145" s="10"/>
    </row>
    <row r="146" customFormat="false" ht="12.8" hidden="false" customHeight="false" outlineLevel="0" collapsed="false">
      <c r="AL146" s="10"/>
      <c r="AM146" s="10"/>
      <c r="AN146" s="10"/>
      <c r="AO146" s="10"/>
      <c r="AP146" s="10"/>
      <c r="AR146" s="56"/>
    </row>
    <row r="147" customFormat="false" ht="12.8" hidden="false" customHeight="false" outlineLevel="0" collapsed="false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L147" s="12"/>
      <c r="AM147" s="12"/>
      <c r="AN147" s="12"/>
      <c r="AO147" s="12"/>
      <c r="AP147" s="12"/>
      <c r="AR147" s="12"/>
    </row>
    <row r="153" customFormat="false" ht="12.8" hidden="false" customHeight="false" outlineLevel="0" collapsed="false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L153" s="12"/>
      <c r="AM153" s="12"/>
      <c r="AN153" s="12"/>
      <c r="AO153" s="12"/>
      <c r="AP153" s="12"/>
      <c r="AR153" s="12"/>
    </row>
    <row r="154" customFormat="false" ht="12.8" hidden="false" customHeight="false" outlineLevel="0" collapsed="false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L154" s="12"/>
      <c r="AM154" s="12"/>
      <c r="AN154" s="12"/>
      <c r="AO154" s="12"/>
      <c r="AP154" s="12"/>
      <c r="AR154" s="12"/>
    </row>
    <row r="155" customFormat="false" ht="12.8" hidden="false" customHeight="false" outlineLevel="0" collapsed="false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L155" s="12"/>
      <c r="AM155" s="12"/>
      <c r="AN155" s="12"/>
      <c r="AO155" s="12"/>
      <c r="AP155" s="12"/>
      <c r="AR155" s="12"/>
    </row>
    <row r="156" customFormat="false" ht="12.8" hidden="false" customHeight="false" outlineLevel="0" collapsed="false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L156" s="12"/>
      <c r="AM156" s="12"/>
      <c r="AN156" s="12"/>
      <c r="AO156" s="12"/>
      <c r="AP156" s="12"/>
      <c r="AR156" s="12"/>
    </row>
    <row r="157" customFormat="false" ht="12.8" hidden="false" customHeight="false" outlineLevel="0" collapsed="false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L157" s="12"/>
      <c r="AM157" s="12"/>
      <c r="AN157" s="12"/>
      <c r="AO157" s="12"/>
      <c r="AP157" s="12"/>
      <c r="AR157" s="12"/>
    </row>
  </sheetData>
  <conditionalFormatting sqref="C126:AR126 E115:AJ116 AP115:AP116 C114:D116 C118:AR118 C120:AR120 C122:AR122 C124:AR124 AR115:AR116 AL115:AO115 AK116:AO116 AQ116 AL135:AP136 AL145:AP146 C4:AR5 AR69:AR80 C10:AR64 AK6:AR9 L6:L9 C131 C66:AR68 C69:AQ80">
    <cfRule type="cellIs" priority="2" operator="equal" aboveAverage="0" equalAverage="0" bottom="0" percent="0" rank="0" text="" dxfId="2">
      <formula>na</formula>
    </cfRule>
  </conditionalFormatting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1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2853</TotalTime>
  <Application>LibreOffice/25.2.2.2$MacOSX_AARCH64 LibreOffice_project/7370d4be9e3cf6031a51beef54ff3bda878e3fac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2024-02-17T07:37:54Z</dcterms:created>
  <dc:creator/>
  <dc:description/>
  <dc:language>en-CA</dc:language>
  <cp:lastModifiedBy/>
  <cp:lastPrinted>2025-06-06T08:26:20Z</cp:lastPrinted>
  <dcterms:modified xsi:type="dcterms:W3CDTF">2025-06-06T13:04:59Z</dcterms:modified>
  <cp:revision>243</cp:revision>
  <dc:subject/>
  <dc:title/>
</cp:coreProperties>
</file>